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DPIMTT6bO7nq1/V1dAdhS8z29OeS7bHvNuis9IJrDUtd42IjzUJU1cwsr4eWz/Hf3sJ548oXdAxMhx1lJAp2RQ==" workbookSaltValue="dOMpAqFECmCwFUtMFikqd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C11" i="6" s="1"/>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BD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6" i="13"/>
  <c r="BD12" i="13"/>
  <c r="AZ13" i="13"/>
  <c r="AM19" i="8"/>
  <c r="AP13" i="17"/>
  <c r="BD17" i="8"/>
  <c r="BF17" i="8"/>
  <c r="AB19" i="19"/>
  <c r="BF9" i="13"/>
  <c r="E18" i="12"/>
  <c r="ER19" i="8"/>
  <c r="EL19" i="8"/>
  <c r="AC11" i="11"/>
  <c r="EQ19" i="8"/>
  <c r="AP12" i="11"/>
  <c r="Y11" i="11"/>
  <c r="AT18" i="17"/>
  <c r="AL10" i="11"/>
  <c r="N10" i="11"/>
  <c r="N9" i="11"/>
  <c r="T10" i="21"/>
  <c r="E15" i="6"/>
  <c r="D11" i="2"/>
  <c r="N11" i="11"/>
  <c r="ES19" i="8"/>
  <c r="C18" i="7"/>
  <c r="S19" i="13"/>
  <c r="AG19" i="19"/>
  <c r="F9" i="11"/>
  <c r="CI19" i="8"/>
  <c r="AE19" i="8"/>
  <c r="EP19" i="8"/>
  <c r="ER19" i="13"/>
  <c r="AL13" i="16"/>
  <c r="S13" i="16"/>
  <c r="H18" i="16"/>
  <c r="P13" i="16"/>
  <c r="AN13" i="20"/>
  <c r="H15" i="2"/>
  <c r="M13" i="2"/>
  <c r="N13" i="2"/>
  <c r="B12" i="6"/>
  <c r="AC10" i="11"/>
  <c r="H13" i="12"/>
  <c r="AJ19" i="8"/>
  <c r="T13" i="12"/>
  <c r="S19" i="8"/>
  <c r="BF15" i="8"/>
  <c r="BD9"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X20" i="20"/>
  <c r="O16" i="11"/>
  <c r="T20" i="20"/>
  <c r="I20" i="20"/>
  <c r="AD20" i="20"/>
  <c r="M20" i="20"/>
  <c r="W20" i="21"/>
  <c r="W20" i="20"/>
  <c r="AI20" i="20"/>
  <c r="AG20" i="20"/>
  <c r="AU20" i="20"/>
  <c r="Y20" i="20"/>
  <c r="O20" i="20"/>
  <c r="AH20" i="20"/>
  <c r="Q20" i="20"/>
  <c r="H20" i="20"/>
  <c r="N20" i="20"/>
  <c r="U12" i="11"/>
  <c r="R20" i="20"/>
  <c r="T20" i="21"/>
  <c r="AV20" i="20"/>
  <c r="AX20" i="20"/>
  <c r="AO20" i="20"/>
  <c r="Z20" i="20"/>
  <c r="B17" i="6" l="1"/>
  <c r="C17" i="6"/>
  <c r="AY18" i="8"/>
  <c r="Y19" i="8"/>
  <c r="AO16" i="11"/>
  <c r="AW18" i="21"/>
  <c r="B18" i="2"/>
  <c r="Z13" i="17"/>
  <c r="L12" i="14"/>
  <c r="H12" i="7"/>
  <c r="AB19" i="8"/>
  <c r="Z19" i="8"/>
  <c r="BG10" i="8"/>
  <c r="C19" i="3"/>
  <c r="F9" i="2"/>
  <c r="E11" i="6"/>
  <c r="AO17" i="11"/>
  <c r="B16" i="6"/>
  <c r="B9" i="6"/>
  <c r="AL11" i="11"/>
  <c r="H12" i="2"/>
  <c r="M18" i="2"/>
  <c r="N18" i="2"/>
  <c r="N19" i="2" s="1"/>
  <c r="F15" i="17"/>
  <c r="D11" i="12"/>
  <c r="BF11" i="8"/>
  <c r="BF9" i="8"/>
  <c r="BG9" i="8"/>
  <c r="K9" i="7" s="1"/>
  <c r="BE9" i="8"/>
  <c r="BD11" i="8"/>
  <c r="BE11" i="8"/>
  <c r="I11" i="12" s="1"/>
  <c r="BG12" i="8"/>
  <c r="BE12" i="8"/>
  <c r="C10" i="6"/>
  <c r="L11" i="14"/>
  <c r="BE12" i="13"/>
  <c r="BE15" i="13"/>
  <c r="BA18" i="13"/>
  <c r="BF18" i="13" s="1"/>
  <c r="BG15" i="8"/>
  <c r="BD15" i="8"/>
  <c r="H15" i="7" s="1"/>
  <c r="BE15" i="8"/>
  <c r="BG16" i="8"/>
  <c r="K16" i="7" s="1"/>
  <c r="E18" i="2"/>
  <c r="AL15" i="11"/>
  <c r="L16" i="14"/>
  <c r="F15" i="11"/>
  <c r="AQ15" i="11" s="1"/>
  <c r="F16" i="17"/>
  <c r="D12" i="12"/>
  <c r="F12" i="11"/>
  <c r="AQ12" i="11" s="1"/>
  <c r="E9" i="6"/>
  <c r="AY13" i="8"/>
  <c r="AO12" i="11"/>
  <c r="I11" i="7"/>
  <c r="AY13" i="13"/>
  <c r="BE9" i="13"/>
  <c r="BB13" i="13"/>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S17" i="14"/>
  <c r="V17" i="14" s="1"/>
  <c r="V18" i="14" s="1"/>
  <c r="T12" i="11"/>
  <c r="X10" i="17"/>
  <c r="V10" i="16"/>
  <c r="X10" i="21"/>
  <c r="AU18" i="21"/>
  <c r="L19" i="21"/>
  <c r="BD18" i="19"/>
  <c r="AC19" i="13"/>
  <c r="BA13" i="13"/>
  <c r="BD13" i="13" s="1"/>
  <c r="BE11" i="13"/>
  <c r="BG10" i="13"/>
  <c r="BE17" i="13"/>
  <c r="F17" i="11"/>
  <c r="AQ17" i="11" s="1"/>
  <c r="K12" i="7"/>
  <c r="AM15" i="11"/>
  <c r="E12" i="6"/>
  <c r="K12" i="12" s="1"/>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AQ16" i="17"/>
  <c r="AY21" i="21"/>
  <c r="AG18" i="11"/>
  <c r="AK18" i="11"/>
  <c r="E13" i="14"/>
  <c r="O19" i="16"/>
  <c r="I17" i="12"/>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AI19" i="11" l="1"/>
  <c r="B19" i="7"/>
  <c r="D19" i="12"/>
  <c r="Y13" i="11"/>
  <c r="G19" i="7"/>
  <c r="H13" i="2"/>
  <c r="AL18" i="11"/>
  <c r="BE13" i="13"/>
  <c r="BG13" i="13"/>
  <c r="C18" i="6"/>
  <c r="S16" i="17"/>
  <c r="AZ11" i="11"/>
  <c r="AA11" i="16"/>
  <c r="T17" i="11"/>
  <c r="R17" i="14"/>
  <c r="R18" i="14" s="1"/>
  <c r="X15" i="16"/>
  <c r="X18" i="16" s="1"/>
  <c r="L11" i="2"/>
  <c r="V17" i="16"/>
  <c r="X17" i="20"/>
  <c r="AA10" i="16"/>
  <c r="L15" i="2"/>
  <c r="AQ12" i="21"/>
  <c r="Q15" i="17"/>
  <c r="BF12" i="11"/>
  <c r="T15" i="11"/>
  <c r="BV9" i="16"/>
  <c r="BU9" i="17"/>
  <c r="BV16" i="16"/>
  <c r="T15" i="16"/>
  <c r="BL11" i="11"/>
  <c r="BJ11" i="11"/>
  <c r="BI10" i="11"/>
  <c r="X11" i="17"/>
  <c r="BF17" i="11"/>
  <c r="BH15" i="11"/>
  <c r="AP16" i="20"/>
  <c r="AS16" i="20"/>
  <c r="BE18" i="13"/>
  <c r="BD18" i="13"/>
  <c r="F18" i="11"/>
  <c r="J18" i="2"/>
  <c r="K16" i="12"/>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Q20" i="11"/>
  <c r="P20" i="17"/>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AG20" i="17"/>
  <c r="V20" i="17"/>
  <c r="BC20" i="16"/>
  <c r="AE20" i="11"/>
  <c r="AB20" i="11"/>
  <c r="BW21" i="20" l="1"/>
  <c r="BU21" i="17"/>
  <c r="Q12" i="11"/>
  <c r="BH13"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<sst xmlns="http://schemas.openxmlformats.org/spreadsheetml/2006/main" count="2102" uniqueCount="918">
  <si>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</si>
  <si>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</si>
  <si>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</si>
  <si>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</si>
  <si>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</si>
  <si>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</si>
  <si>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</si>
  <si>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</si>
  <si>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</si>
  <si>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</si>
  <si>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</si>
  <si>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</si>
  <si>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</si>
  <si>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</si>
  <si>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</si>
  <si>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</si>
  <si>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</si>
  <si>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</si>
  <si>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</si>
  <si>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</si>
  <si>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</si>
  <si>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</si>
  <si>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</si>
  <si>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</si>
  <si>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</si>
  <si>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</si>
  <si>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</si>
  <si>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</si>
  <si>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</si>
  <si>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</si>
  <si>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</si>
  <si>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</si>
  <si>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</si>
  <si>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</si>
  <si>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</si>
  <si>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</si>
  <si>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</si>
  <si>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</si>
  <si>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</si>
  <si>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</si>
  <si>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</si>
  <si>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</si>
  <si>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</si>
  <si>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</si>
  <si>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</si>
  <si>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</si>
  <si>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</si>
  <si>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</si>
  <si>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</si>
  <si>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</si>
  <si>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</si>
  <si>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</si>
  <si>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</si>
  <si>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</si>
  <si>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</si>
  <si>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</si>
  <si>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</si>
  <si>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</si>
  <si>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</si>
  <si>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</si>
  <si>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</si>
  <si>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</si>
  <si>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</si>
  <si>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</si>
  <si>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</si>
  <si>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</si>
  <si>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</si>
  <si>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</si>
  <si>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</si>
  <si>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</si>
  <si>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</si>
  <si>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</si>
  <si>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</si>
  <si>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</si>
  <si>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</si>
  <si>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</si>
  <si>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</si>
  <si>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</si>
  <si>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</si>
  <si>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</si>
  <si>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</si>
  <si>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</si>
  <si>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</si>
  <si>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</si>
  <si>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</si>
  <si>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</si>
  <si>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</si>
  <si>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</si>
  <si>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</si>
  <si>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</si>
  <si>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</si>
  <si>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</si>
  <si>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</si>
  <si>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</si>
  <si>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</si>
  <si>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</si>
  <si>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</si>
  <si>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</si>
  <si>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</si>
  <si>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</si>
  <si>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</si>
  <si>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</si>
  <si>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</si>
  <si>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</si>
  <si>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</si>
  <si>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</si>
  <si>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</si>
  <si>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</si>
  <si>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</si>
  <si>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</si>
  <si>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</si>
  <si>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</si>
  <si>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</si>
  <si>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</si>
  <si>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</si>
  <si>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</si>
  <si>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</si>
  <si>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</si>
  <si>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</si>
  <si>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</si>
  <si>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</si>
  <si>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</si>
  <si>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</si>
  <si>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</si>
  <si>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</si>
  <si>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</si>
  <si>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</si>
  <si>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</si>
  <si>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</si>
  <si>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</si>
  <si>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</si>
  <si>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</si>
  <si>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</si>
  <si>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</si>
  <si>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</si>
  <si>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</si>
  <si>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</si>
  <si>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</si>
  <si>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</si>
  <si>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</si>
  <si>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</si>
  <si>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</si>
  <si>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</si>
  <si>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</si>
  <si>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</si>
  <si>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</si>
  <si>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</si>
  <si>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</si>
  <si>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</si>
  <si>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</si>
  <si>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</si>
  <si>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</si>
  <si>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</si>
  <si>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</si>
  <si>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</si>
  <si>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</si>
  <si>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</si>
  <si>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</si>
  <si>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</si>
  <si>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</si>
  <si>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</si>
  <si>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</si>
  <si>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</si>
  <si>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</si>
  <si>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</si>
  <si>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</si>
  <si>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</si>
  <si>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</si>
  <si>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</si>
  <si>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</si>
  <si>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</si>
  <si>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</si>
  <si>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</si>
  <si>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</si>
  <si>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</si>
  <si>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</si>
  <si>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</si>
  <si>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</si>
  <si>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</si>
  <si>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</si>
  <si>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</si>
  <si>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</si>
  <si>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</si>
  <si>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</si>
  <si>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</si>
  <si>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</si>
  <si>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</si>
  <si>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</si>
  <si>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</si>
  <si>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</si>
  <si>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</si>
  <si>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</si>
  <si>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</si>
  <si>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</si>
  <si>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</si>
  <si>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</si>
  <si>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</si>
  <si>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</si>
  <si>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</si>
  <si>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</si>
  <si>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</si>
  <si>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</si>
  <si>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</si>
  <si>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</si>
  <si>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</si>
  <si>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</si>
  <si>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</si>
  <si>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</si>
  <si>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</si>
  <si>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</si>
  <si>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</si>
  <si>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</si>
  <si>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</si>
  <si>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</si>
  <si>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</si>
  <si>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</si>
  <si>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</si>
  <si>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</si>
  <si>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</si>
  <si>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</si>
  <si>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</si>
  <si>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</si>
  <si>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</si>
  <si>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</si>
  <si>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</si>
  <si>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</si>
  <si>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</si>
  <si>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</si>
  <si>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</si>
  <si>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</si>
  <si>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</si>
  <si>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</si>
  <si>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</si>
  <si>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</si>
  <si>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</si>
  <si>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</si>
  <si>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</si>
  <si>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</si>
  <si>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</si>
  <si>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</si>
  <si>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</si>
  <si>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</si>
  <si>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</si>
  <si>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</si>
  <si>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</si>
  <si>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</si>
  <si>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</si>
  <si>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</si>
  <si>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</si>
  <si>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</si>
  <si>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</si>
  <si>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</si>
  <si>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</si>
  <si>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</si>
  <si>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</si>
  <si>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</si>
  <si>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</si>
  <si>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</si>
  <si>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</si>
  <si>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</si>
  <si>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</si>
  <si>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</si>
  <si>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</si>
  <si>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</si>
  <si>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</si>
  <si>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</si>
  <si>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</si>
  <si>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</si>
  <si>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</si>
  <si>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</si>
  <si>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</si>
  <si>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</si>
  <si>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</si>
  <si>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</si>
  <si>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</si>
  <si>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</si>
  <si>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</si>
  <si>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</si>
  <si>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</si>
  <si>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</si>
  <si>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</si>
  <si>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</si>
  <si>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</si>
  <si>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</si>
  <si>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</si>
  <si>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</si>
  <si>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</si>
  <si>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</si>
  <si>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</si>
  <si>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</si>
  <si>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</si>
  <si>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</si>
  <si>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</si>
  <si>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</si>
  <si>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</si>
  <si>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</si>
  <si>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</si>
  <si>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</si>
  <si>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</si>
  <si>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</si>
  <si>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</si>
  <si>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</si>
  <si>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</si>
  <si>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</si>
  <si>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</si>
  <si>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</si>
  <si>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</si>
  <si>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</si>
  <si>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</si>
  <si>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</si>
  <si>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</si>
  <si>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</si>
  <si>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</si>
  <si>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</si>
  <si>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</si>
  <si>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</si>
  <si>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</si>
  <si>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</si>
  <si>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</si>
  <si>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</si>
  <si>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</si>
  <si>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</si>
  <si>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</si>
  <si>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</si>
  <si>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</si>
  <si>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</si>
  <si>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</si>
  <si>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</si>
  <si>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</si>
  <si>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</si>
  <si>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</si>
  <si>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</si>
  <si>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</si>
  <si>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</si>
  <si>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</si>
  <si>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</si>
  <si>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</si>
  <si>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</si>
  <si>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</si>
  <si>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</si>
  <si>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</si>
  <si>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</si>
  <si>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</si>
  <si>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</si>
  <si>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</si>
  <si>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</si>
  <si>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</si>
  <si>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</si>
  <si>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</si>
  <si>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</si>
  <si>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</si>
  <si>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</si>
  <si>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</si>
  <si>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</si>
  <si>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</si>
  <si>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</si>
  <si>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</si>
  <si>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</si>
  <si>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</si>
  <si>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</si>
  <si>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</si>
  <si>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</si>
  <si>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</si>
  <si>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</si>
  <si>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</si>
  <si>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</si>
  <si>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</si>
  <si>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</si>
  <si>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</si>
  <si>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</si>
  <si>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</si>
  <si>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</si>
  <si>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</si>
  <si>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</si>
  <si>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</si>
  <si>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</si>
  <si>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</si>
  <si>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</si>
  <si>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</si>
  <si>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</si>
  <si>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</si>
  <si>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</si>
  <si>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</si>
  <si>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</si>
  <si>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</si>
  <si>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</si>
  <si>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</si>
  <si>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</si>
  <si>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</si>
  <si>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</si>
  <si>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</si>
  <si>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</si>
  <si>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</si>
  <si>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</si>
  <si>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</si>
  <si>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</si>
  <si>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</si>
  <si>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</si>
  <si>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</si>
  <si>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</si>
  <si>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</si>
  <si>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</si>
  <si>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</si>
  <si>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</si>
  <si>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</si>
  <si>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</si>
  <si>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</si>
  <si>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</si>
  <si>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</si>
  <si>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</si>
  <si>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</si>
  <si>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</si>
  <si>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</si>
  <si>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</si>
  <si>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</si>
  <si>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</si>
  <si>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</si>
  <si>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</si>
  <si>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</si>
  <si>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</si>
  <si>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</si>
  <si>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</si>
  <si>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</si>
  <si>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</si>
  <si>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</si>
  <si>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</si>
  <si>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</si>
  <si>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</si>
  <si>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</si>
  <si>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</si>
  <si>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</si>
  <si>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</si>
  <si>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</si>
  <si>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</si>
  <si>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</si>
  <si>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</si>
  <si>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</si>
  <si>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</si>
  <si>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</si>
  <si>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</si>
  <si>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</si>
  <si>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</si>
  <si>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</si>
  <si>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</si>
  <si>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</si>
  <si>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</si>
  <si>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</si>
  <si>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</si>
  <si>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</si>
  <si>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</si>
  <si>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</si>
  <si>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</si>
  <si>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</si>
  <si>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</si>
  <si>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</si>
  <si>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</si>
  <si>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</si>
  <si>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</si>
  <si>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</si>
  <si>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</si>
  <si>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</si>
  <si>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</si>
  <si>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</si>
  <si>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</si>
  <si>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</si>
  <si>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</si>
  <si>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</si>
  <si>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</si>
  <si>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</si>
  <si>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</si>
  <si>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</si>
  <si>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</si>
  <si>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</si>
  <si>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</si>
  <si>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</si>
  <si>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</si>
  <si>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</si>
  <si>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</si>
  <si>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</si>
  <si>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</si>
  <si>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</si>
  <si>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</si>
  <si>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</si>
  <si>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</si>
  <si>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</si>
  <si>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</si>
  <si>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</si>
  <si>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</si>
  <si>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</si>
  <si>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</si>
  <si>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</si>
  <si>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</si>
  <si>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</si>
  <si>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</si>
  <si>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</si>
  <si>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</si>
  <si>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</si>
  <si>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</si>
  <si>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</si>
  <si>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</si>
  <si>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</si>
  <si>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</si>
  <si>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</si>
  <si>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</si>
  <si>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</si>
  <si>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</si>
  <si>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</si>
  <si>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</si>
  <si>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</si>
  <si>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</si>
  <si>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</si>
  <si>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</si>
  <si>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</si>
  <si>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</si>
  <si>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</si>
  <si>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</si>
  <si>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</si>
  <si>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</si>
  <si>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</si>
  <si>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</si>
  <si>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</si>
  <si>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</si>
  <si>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</si>
  <si>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</si>
  <si>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</si>
  <si>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</si>
  <si>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</si>
  <si>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</si>
  <si>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</si>
  <si>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</si>
  <si>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</si>
  <si>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</si>
  <si>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</si>
  <si>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</si>
  <si>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</si>
  <si>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</si>
  <si>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</si>
  <si>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</si>
  <si>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</si>
  <si>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</si>
  <si>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</si>
  <si>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</si>
  <si>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</si>
  <si>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</si>
  <si>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</si>
  <si>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</si>
  <si>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</si>
  <si>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</si>
  <si>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</si>
  <si>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</si>
  <si>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</si>
  <si>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</si>
  <si>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</si>
  <si>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</si>
  <si>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</si>
  <si>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</si>
  <si>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</si>
  <si>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</si>
  <si>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</si>
  <si>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</si>
  <si>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</si>
  <si>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</si>
  <si>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</si>
  <si>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</si>
  <si>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</si>
  <si>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</si>
  <si>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</si>
  <si>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</si>
  <si>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</si>
  <si>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</si>
  <si>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</si>
  <si>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</si>
  <si>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</si>
  <si>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</si>
  <si>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</si>
  <si>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</si>
  <si>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</si>
  <si>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</si>
  <si>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</si>
  <si>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</si>
  <si>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</si>
  <si>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</si>
  <si>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</si>
  <si>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</si>
  <si>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</si>
  <si>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</si>
  <si>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</si>
  <si>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</si>
  <si>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</si>
  <si>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</si>
  <si>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</si>
  <si>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</si>
  <si>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</si>
  <si>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</si>
  <si>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</si>
  <si>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</si>
  <si>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</si>
  <si>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</si>
  <si>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</si>
  <si>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</si>
  <si>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</si>
  <si>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</si>
  <si>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</si>
  <si>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</si>
  <si>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</si>
  <si>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</si>
  <si>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</si>
  <si>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</si>
  <si>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</si>
  <si>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</si>
  <si>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</si>
  <si>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</si>
  <si>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</si>
  <si>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</si>
  <si>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</si>
  <si>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</si>
  <si>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</si>
  <si>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</si>
  <si>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</si>
  <si>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</si>
  <si>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</si>
  <si>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</si>
  <si>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</si>
  <si>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</si>
  <si>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</si>
  <si>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</si>
  <si>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</si>
  <si>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</si>
  <si>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</si>
  <si>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</si>
  <si>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</si>
  <si>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</si>
  <si>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</si>
  <si>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</si>
  <si>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</si>
  <si>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</si>
  <si>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</si>
  <si>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</si>
  <si>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</si>
  <si>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</si>
  <si>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</si>
  <si>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</si>
  <si>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</si>
  <si>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</si>
  <si>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</si>
  <si>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</si>
  <si>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</si>
  <si>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</si>
  <si>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</si>
  <si>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</si>
  <si>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</si>
  <si>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</si>
  <si>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</si>
  <si>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</si>
  <si>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</si>
  <si>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</si>
  <si>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</si>
  <si>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</si>
  <si>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</si>
  <si>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</si>
  <si>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</si>
  <si>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</si>
  <si>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</si>
  <si>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</si>
  <si>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</si>
  <si>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</si>
  <si>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</si>
  <si>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</si>
  <si>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</si>
  <si>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</si>
  <si>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</si>
  <si>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</si>
  <si>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</si>
  <si>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</si>
  <si>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</si>
  <si>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</si>
  <si>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</si>
  <si>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</si>
  <si>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</si>
  <si>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</si>
  <si>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</si>
  <si>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</si>
  <si>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</si>
  <si>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</si>
  <si>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</si>
  <si>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</si>
  <si>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</si>
  <si>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</si>
  <si>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</si>
  <si>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</si>
  <si>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</si>
  <si>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</si>
  <si>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</si>
  <si>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</si>
  <si>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</si>
  <si>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</si>
  <si>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</si>
  <si>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</si>
  <si>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</si>
  <si>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</si>
  <si>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</si>
  <si>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</si>
  <si>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</si>
  <si>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</si>
  <si>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</si>
  <si>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</si>
  <si>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</si>
  <si>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</si>
  <si>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</si>
  <si>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</si>
  <si>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</si>
  <si>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</si>
  <si>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</si>
  <si>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</si>
  <si>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</si>
  <si>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</si>
  <si>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</si>
  <si>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</si>
  <si>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</si>
  <si>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</si>
  <si>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</si>
  <si>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</si>
  <si>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</si>
  <si>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</si>
  <si>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</si>
  <si>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</si>
  <si>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</si>
  <si>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</si>
  <si>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</si>
  <si>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</si>
  <si>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</si>
  <si>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</si>
  <si>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</si>
  <si>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</si>
  <si>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</si>
  <si>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</si>
  <si>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</si>
  <si>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</si>
  <si>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</si>
  <si>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</si>
  <si>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</si>
  <si>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</si>
  <si>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</si>
  <si>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</si>
  <si>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</si>
  <si>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</si>
  <si>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</si>
  <si>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</si>
  <si>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</si>
  <si>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</si>
  <si>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</si>
  <si>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</si>
  <si>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</si>
  <si>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</si>
  <si>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</si>
  <si>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</si>
  <si>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</si>
  <si>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</si>
  <si>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</si>
  <si>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</si>
  <si>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</si>
  <si>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</si>
  <si>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</si>
  <si>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</si>
  <si>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</si>
  <si>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</si>
  <si>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</si>
  <si>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</si>
  <si>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</si>
  <si>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</si>
  <si>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</si>
  <si>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</si>
  <si>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</si>
  <si>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</si>
  <si>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</si>
  <si>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</si>
  <si>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</si>
  <si>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</si>
  <si>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</si>
  <si>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</si>
  <si>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</si>
  <si>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</si>
  <si>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</si>
  <si>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</si>
  <si>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</si>
  <si>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</si>
  <si>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</si>
  <si>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</si>
  <si>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</si>
  <si>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</si>
  <si>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</si>
  <si>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</si>
  <si>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</si>
  <si>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</si>
  <si>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</si>
  <si>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</si>
  <si>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</si>
  <si>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</si>
  <si>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</si>
  <si>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</si>
  <si>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</si>
  <si>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</si>
  <si>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</si>
  <si>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</si>
  <si>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</si>
  <si>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</si>
  <si>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</si>
  <si>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</si>
  <si>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</si>
  <si>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</si>
  <si>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</si>
  <si>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</si>
  <si>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</si>
  <si>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</si>
  <si>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</si>
  <si>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</si>
  <si>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</si>
  <si>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</si>
  <si>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</si>
  <si>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</si>
  <si>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</si>
  <si>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</si>
  <si>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</si>
  <si>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</si>
  <si>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</si>
  <si>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</si>
  <si>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</si>
  <si>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</si>
  <si>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</si>
  <si>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</si>
  <si>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</si>
  <si>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</si>
  <si>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</si>
  <si>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</si>
  <si>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</si>
  <si>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</si>
  <si>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</si>
  <si>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</si>
  <si>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</si>
  <si>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</si>
  <si>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</si>
  <si>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</si>
  <si>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</si>
  <si>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</si>
  <si>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</si>
  <si>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</si>
  <si>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</si>
  <si>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</si>
  <si>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</si>
  <si>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</si>
  <si>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</si>
  <si>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</si>
  <si>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</si>
  <si>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</si>
  <si>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</si>
  <si>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</si>
  <si>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</si>
  <si>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</si>
  <si>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</si>
  <si>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</si>
  <si>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</si>
  <si>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</si>
  <si>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</si>
  <si>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</si>
  <si>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</si>
  <si>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</si>
  <si>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</si>
  <si>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</si>
  <si>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</si>
  <si>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</si>
  <si>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</si>
  <si>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</si>
  <si>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</si>
  <si>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</si>
  <si>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</si>
  <si>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</si>
  <si>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</si>
  <si>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</si>
  <si>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</si>
  <si>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</si>
  <si>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</si>
  <si>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</si>
  <si>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</si>
  <si>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</si>
  <si>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</si>
  <si>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</si>
  <si>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</si>
  <si>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</si>
  <si>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</si>
  <si>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</si>
  <si>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</si>
  <si>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</si>
  <si>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</si>
  <si>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</si>
  <si>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</si>
  <si>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</si>
  <si>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</si>
  <si>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</si>
  <si>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</si>
  <si>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</si>
  <si>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</si>
  <si>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</si>
  <si>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</si>
  <si>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</si>
  <si>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</si>
  <si>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</si>
  <si>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</si>
  <si>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</si>
  <si>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</si>
  <si>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</si>
  <si>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</si>
  <si>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</si>
  <si>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</si>
  <si>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CANARIAS</t>
  </si>
  <si>
    <t>Provincias</t>
  </si>
  <si>
    <t>SANTA CRUZ DE TENERIFE</t>
  </si>
  <si>
    <t>Resumenes por Partidos Judiciales</t>
  </si>
  <si>
    <t>PUERTO DE LA 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</si>
</sst>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uZIO3m6lDkc2J/1H0EA992EKloEsLLjq+AAukixHgvLlVUdcHaeS4S8k5FD90SE7pb2z5u7BGyqRylfGwCfPBw==" saltValue="JYA4AfYKXGb8T/m+lqqmJ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CANARIAS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v>
      </c>
      <c r="D10" s="224">
        <f>IF(ISNUMBER(Datos!I10),Datos!I10," - ")</f>
        <v>2</v>
      </c>
      <c r="E10" s="225">
        <f>IF(ISNUMBER(Datos!J10),Datos!J10," - ")</f>
        <v>1</v>
      </c>
      <c r="F10" s="225">
        <f>IF(ISNUMBER(Datos!K10),Datos!K10," - ")</f>
        <v>3</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f t="shared" ref="K10:K12" si="1">IF(ISNUMBER((E10-F10)/C10),(E10-F10)/C10," - ")</f>
        <v>-1</v>
      </c>
      <c r="L10" s="1024">
        <f>IF(ISNUMBER(NºAsuntos!I10/NºAsuntos!G10),(NºAsuntos!I10/NºAsuntos!G10)*11," - ")</f>
        <v>0</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81.777142857142849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v>
      </c>
      <c r="D13" s="1048">
        <f>SUBTOTAL(9,D9:D12)</f>
        <v>2</v>
      </c>
      <c r="E13" s="1049">
        <f>SUBTOTAL(9,E9:E12)</f>
        <v>1</v>
      </c>
      <c r="F13" s="1050">
        <f>SUBTOTAL(9,F9:F12)</f>
        <v>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719</v>
      </c>
      <c r="D16" s="224">
        <f>IF(ISNUMBER(IF(D_I="SI",Datos!I16,Datos!I16+Datos!AC16)),IF(D_I="SI",Datos!I16,Datos!I16+Datos!AC16)," - ")</f>
        <v>719</v>
      </c>
      <c r="E16" s="225">
        <f>IF(ISNUMBER(IF(D_I="SI",Datos!J16,Datos!J16+Datos!AD16)),IF(D_I="SI",Datos!J16,Datos!J16+Datos!AD16)," - ")</f>
        <v>590</v>
      </c>
      <c r="F16" s="225">
        <f>IF(ISNUMBER(IF(D_I="SI",Datos!K16,Datos!K16+Datos!AE16)),IF(D_I="SI",Datos!K16,Datos!K16+Datos!AE16)," - ")</f>
        <v>397</v>
      </c>
      <c r="G16" s="1033" t="str">
        <f>IF(Datos!E16&lt;&gt;"",Datos!E16,Datos!D16)</f>
        <v>04</v>
      </c>
      <c r="H16" s="226">
        <f>IF(ISNUMBER(IF(D_I="SI",Datos!L16,Datos!L16+Datos!AF16)),IF(D_I="SI",Datos!L16,Datos!L16+Datos!AF16)," - ")</f>
        <v>912</v>
      </c>
      <c r="I16" s="1043" t="str">
        <f>IF(ISNUMBER(Datos!AS16/Datos!BM16),Datos!AS16/Datos!BM16," - ")</f>
        <v xml:space="preserve"> - </v>
      </c>
      <c r="J16" s="1044">
        <f>IF(ISNUMBER(Datos!BY16/Datos!CN16),Datos!BY16/Datos!CN16," - ")</f>
        <v>0</v>
      </c>
      <c r="K16" s="229">
        <f t="shared" si="3"/>
        <v>0.26842837273991654</v>
      </c>
      <c r="L16" s="1024">
        <f>IF(ISNUMBER(NºAsuntos!I16/NºAsuntos!G16),(NºAsuntos!I16/NºAsuntos!G16)*11," - ")</f>
        <v>25.269521410579344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26</v>
      </c>
      <c r="D17" s="224">
        <f>IF(ISNUMBER(IF(D_I="SI",Datos!I17,Datos!I17+Datos!AC17)),IF(D_I="SI",Datos!I17,Datos!I17+Datos!AC17)," - ")</f>
        <v>26</v>
      </c>
      <c r="E17" s="225">
        <f>IF(ISNUMBER(IF(D_I="SI",Datos!J17,Datos!J17+Datos!AD17)),IF(D_I="SI",Datos!J17,Datos!J17+Datos!AD17)," - ")</f>
        <v>71</v>
      </c>
      <c r="F17" s="225">
        <f>IF(ISNUMBER(IF(D_I="SI",Datos!K17,Datos!K17+Datos!AE17)),IF(D_I="SI",Datos!K17,Datos!K17+Datos!AE17)," - ")</f>
        <v>42</v>
      </c>
      <c r="G17" s="1033" t="str">
        <f>IF(Datos!E17&lt;&gt;"",Datos!E17,Datos!D17)</f>
        <v>37</v>
      </c>
      <c r="H17" s="226">
        <f>IF(ISNUMBER(IF(D_I="SI",Datos!L17,Datos!L17+Datos!AF17)),IF(D_I="SI",Datos!L17,Datos!L17+Datos!AF17)," - ")</f>
        <v>55</v>
      </c>
      <c r="I17" s="1043" t="str">
        <f>IF(ISNUMBER(Datos!AS17/Datos!BM17),Datos!AS17/Datos!BM17," - ")</f>
        <v xml:space="preserve"> - </v>
      </c>
      <c r="J17" s="1044" t="str">
        <f>IF(ISNUMBER((Datos!BY17+Datos!BZ17)/Datos!CN17),(Datos!BY17+Datos!BZ17)/Datos!CN17," - ")</f>
        <v xml:space="preserve"> - </v>
      </c>
      <c r="K17" s="229">
        <f t="shared" si="3"/>
        <v>1.1153846153846154</v>
      </c>
      <c r="L17" s="1024">
        <f>IF(ISNUMBER(NºAsuntos!I17/NºAsuntos!G17),(NºAsuntos!I17/NºAsuntos!G17)*11," - ")</f>
        <v>14.404761904761905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745</v>
      </c>
      <c r="D18" s="1048">
        <f>SUBTOTAL(9,D15:D17)</f>
        <v>745</v>
      </c>
      <c r="E18" s="1049">
        <f>SUBTOTAL(9,E15:E17)</f>
        <v>661</v>
      </c>
      <c r="F18" s="1049">
        <f>SUBTOTAL(9,F15:F17)</f>
        <v>439</v>
      </c>
      <c r="G18" s="1051" t="str">
        <f ca="1">INDIRECT(CONCATENATE("G",ROW()-1))</f>
        <v>37</v>
      </c>
      <c r="H18" s="1052">
        <f ca="1">SUMIF(G$14:G17,G18,H$14:H17)</f>
        <v>55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747</v>
      </c>
      <c r="D19" s="1070">
        <f>SUBTOTAL(9,D9:D18)</f>
        <v>747</v>
      </c>
      <c r="E19" s="1071">
        <f>SUBTOTAL(9,E9:E18)</f>
        <v>662</v>
      </c>
      <c r="F19" s="1071">
        <f>SUBTOTAL(9,F9:F18)</f>
        <v>442</v>
      </c>
      <c r="G19" s="1072"/>
      <c r="H19" s="1073">
        <f ca="1">SUMIF(B9:B18,"TOTAL",H9:H18)</f>
        <v>55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rmROz6lTahar3RDkodPEXo0loZ5EDybdU+Hnm/+UDIuzy2VR0jpJ8RESj4rJroZVKgNwYHpzZvepZRZRxyPc0g==" saltValue="FW7gwSJRB+/emNmZt5V8f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nL+Su8aJnu1J8z8O6r29d4k1ZisP/o+XKZO8L/snXbl/HxS5KXj82bvKLhekSGkDDDxuH3/8xVCICcsoFsZ01g==" saltValue="VbFkelVMXkFuZzzIsT/Ee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v>
      </c>
      <c r="J10" s="180">
        <v>1</v>
      </c>
      <c r="K10" s="180">
        <v>3</v>
      </c>
      <c r="L10" s="180">
        <v>0</v>
      </c>
      <c r="M10" s="180">
        <v>0</v>
      </c>
      <c r="N10" s="180">
        <v>0</v>
      </c>
      <c r="O10" s="180">
        <v>0</v>
      </c>
      <c r="P10" s="180">
        <v>0</v>
      </c>
      <c r="Q10" s="180">
        <v>0</v>
      </c>
      <c r="R10" s="180">
        <v>0</v>
      </c>
      <c r="S10" s="180">
        <v>6</v>
      </c>
      <c r="T10" s="180">
        <v>1</v>
      </c>
      <c r="U10" s="180">
        <v>3</v>
      </c>
      <c r="V10" s="180">
        <v>4</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6</v>
      </c>
      <c r="AZ10" s="129">
        <f t="shared" si="0"/>
        <v>1</v>
      </c>
      <c r="BA10" s="129">
        <f t="shared" si="0"/>
        <v>3</v>
      </c>
      <c r="BB10" s="129">
        <f t="shared" si="0"/>
        <v>4</v>
      </c>
      <c r="BC10" s="125">
        <f t="shared" si="0"/>
        <v>0</v>
      </c>
      <c r="BD10" s="126">
        <f>IF(ISNUMBER(BA10/AZ10),BA10/AZ10," - ")</f>
        <v>3</v>
      </c>
      <c r="BE10" s="127">
        <f>IF(ISNUMBER(BB10/BA10),BB10/BA10, " - ")</f>
        <v>1.3333333333333333</v>
      </c>
      <c r="BF10" s="127">
        <f>IF(ISNUMBER(BC10/BA10),BC10/BA10, " - ")</f>
        <v>0</v>
      </c>
      <c r="BG10" s="195">
        <f>IF(ISNUMBER((AY10+AZ10)/BA10),(AY10+AZ10)/BA10," - ")</f>
        <v>2.3333333333333335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1186</v>
      </c>
      <c r="J12" s="182">
        <v>256</v>
      </c>
      <c r="K12" s="182">
        <v>175</v>
      </c>
      <c r="L12" s="182">
        <v>1267</v>
      </c>
      <c r="M12" s="182">
        <v>113</v>
      </c>
      <c r="N12" s="182">
        <v>1</v>
      </c>
      <c r="O12" s="180">
        <v>0</v>
      </c>
      <c r="P12" s="182">
        <v>95</v>
      </c>
      <c r="Q12" s="182">
        <v>7</v>
      </c>
      <c r="R12" s="182">
        <v>2004</v>
      </c>
      <c r="S12" s="182">
        <v>1214</v>
      </c>
      <c r="T12" s="182">
        <v>553</v>
      </c>
      <c r="U12" s="182">
        <v>613</v>
      </c>
      <c r="V12" s="182">
        <v>1154</v>
      </c>
      <c r="W12" s="182">
        <v>176</v>
      </c>
      <c r="X12" s="188">
        <v>77</v>
      </c>
      <c r="Y12" s="190">
        <v>23</v>
      </c>
      <c r="Z12" s="180">
        <v>11</v>
      </c>
      <c r="AA12" s="180">
        <v>0</v>
      </c>
      <c r="AB12" s="180">
        <v>34</v>
      </c>
      <c r="AC12" s="182">
        <v>0</v>
      </c>
      <c r="AD12" s="182">
        <v>0</v>
      </c>
      <c r="AE12" s="182">
        <v>0</v>
      </c>
      <c r="AF12" s="188">
        <v>0</v>
      </c>
      <c r="AG12" s="201">
        <v>20</v>
      </c>
      <c r="AH12" s="182">
        <v>21</v>
      </c>
      <c r="AI12" s="182">
        <v>23</v>
      </c>
      <c r="AJ12" s="202">
        <v>18</v>
      </c>
      <c r="AK12" s="181">
        <v>0</v>
      </c>
      <c r="AL12" s="182">
        <v>0</v>
      </c>
      <c r="AM12" s="182">
        <v>0</v>
      </c>
      <c r="AN12" s="188">
        <v>0</v>
      </c>
      <c r="AO12" s="258">
        <v>3</v>
      </c>
      <c r="AP12" s="154">
        <v>3</v>
      </c>
      <c r="AQ12" s="154">
        <v>3</v>
      </c>
      <c r="AR12" s="153">
        <v>3</v>
      </c>
      <c r="AS12" s="339" t="s">
        <v>794</v>
      </c>
      <c r="AT12" s="202"/>
      <c r="AU12" s="201"/>
      <c r="AV12" s="202"/>
      <c r="AW12" s="201"/>
      <c r="AX12" s="202"/>
      <c r="AY12" s="126">
        <f t="shared" si="1"/>
        <v>1234</v>
      </c>
      <c r="AZ12" s="127">
        <f t="shared" si="1"/>
        <v>574</v>
      </c>
      <c r="BA12" s="127">
        <f t="shared" si="1"/>
        <v>636</v>
      </c>
      <c r="BB12" s="127">
        <f t="shared" si="1"/>
        <v>1172</v>
      </c>
      <c r="BC12" s="125">
        <f>IF(ISNUMBER(X12),X12," - ")</f>
        <v>77</v>
      </c>
      <c r="BD12" s="126">
        <f t="shared" si="2"/>
        <v>1.10801393728223</v>
      </c>
      <c r="BE12" s="127">
        <f t="shared" si="3"/>
        <v>1.8427672955974843</v>
      </c>
      <c r="BF12" s="127">
        <f t="shared" si="4"/>
        <v>0.12106918238993711</v>
      </c>
      <c r="BG12" s="195">
        <f t="shared" si="5"/>
        <v>2.8427672955974841</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1188</v>
      </c>
      <c r="J13" s="183">
        <f t="shared" si="6"/>
        <v>257</v>
      </c>
      <c r="K13" s="183">
        <f t="shared" si="6"/>
        <v>178</v>
      </c>
      <c r="L13" s="183">
        <f t="shared" si="6"/>
        <v>1267</v>
      </c>
      <c r="M13" s="183">
        <f t="shared" si="6"/>
        <v>113</v>
      </c>
      <c r="N13" s="183">
        <f t="shared" si="6"/>
        <v>1</v>
      </c>
      <c r="O13" s="183">
        <f t="shared" si="6"/>
        <v>0</v>
      </c>
      <c r="P13" s="183">
        <f t="shared" si="6"/>
        <v>95</v>
      </c>
      <c r="Q13" s="183">
        <f t="shared" si="6"/>
        <v>7</v>
      </c>
      <c r="R13" s="183">
        <f t="shared" si="6"/>
        <v>2004</v>
      </c>
      <c r="S13" s="183">
        <f t="shared" si="6"/>
        <v>1220</v>
      </c>
      <c r="T13" s="183">
        <f t="shared" si="6"/>
        <v>554</v>
      </c>
      <c r="U13" s="183">
        <f t="shared" si="6"/>
        <v>616</v>
      </c>
      <c r="V13" s="183">
        <f t="shared" si="6"/>
        <v>1158</v>
      </c>
      <c r="W13" s="183">
        <f t="shared" si="6"/>
        <v>176</v>
      </c>
      <c r="X13" s="183">
        <f t="shared" si="6"/>
        <v>77</v>
      </c>
      <c r="Y13" s="183">
        <f t="shared" si="6"/>
        <v>23</v>
      </c>
      <c r="Z13" s="183">
        <f t="shared" si="6"/>
        <v>11</v>
      </c>
      <c r="AA13" s="183">
        <f t="shared" si="6"/>
        <v>0</v>
      </c>
      <c r="AB13" s="183">
        <f t="shared" si="6"/>
        <v>34</v>
      </c>
      <c r="AC13" s="183">
        <f t="shared" si="6"/>
        <v>0</v>
      </c>
      <c r="AD13" s="183">
        <f t="shared" si="6"/>
        <v>0</v>
      </c>
      <c r="AE13" s="183">
        <f t="shared" si="6"/>
        <v>0</v>
      </c>
      <c r="AF13" s="183">
        <f>SUBTOTAL(9,AF9:AF12)</f>
        <v>0</v>
      </c>
      <c r="AG13" s="183">
        <f t="shared" ref="AG13:AT13" si="7">SUBTOTAL(9,AG8:AG12)</f>
        <v>20</v>
      </c>
      <c r="AH13" s="183">
        <f t="shared" si="7"/>
        <v>21</v>
      </c>
      <c r="AI13" s="183">
        <f t="shared" si="7"/>
        <v>23</v>
      </c>
      <c r="AJ13" s="183">
        <f t="shared" si="7"/>
        <v>18</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1240</v>
      </c>
      <c r="AZ13" s="183">
        <f>SUBTOTAL(9,AZ8:AZ12)</f>
        <v>575</v>
      </c>
      <c r="BA13" s="183">
        <f>SUBTOTAL(9,BA8:BA12)</f>
        <v>639</v>
      </c>
      <c r="BB13" s="183">
        <f>SUBTOTAL(9,BB8:BB12)</f>
        <v>1176</v>
      </c>
      <c r="BC13" s="183">
        <f>SUBTOTAL(9,BC8:BC12)</f>
        <v>77</v>
      </c>
      <c r="BD13" s="204">
        <f>IF(ISNUMBER(BA13/AZ13),BA13/AZ13," - ")</f>
        <v>1.1113043478260869</v>
      </c>
      <c r="BE13" s="205">
        <f>IF(ISNUMBER(BB13/BA13),BB13/BA13, " - ")</f>
        <v>1.84037558685446</v>
      </c>
      <c r="BF13" s="205">
        <f>IF(ISNUMBER(BC13/BA13),BC13/BA13, " - ")</f>
        <v>0.12050078247261346</v>
      </c>
      <c r="BG13" s="206">
        <f>IF(ISNUMBER((AY13+AZ13)/BA13),(AY13+AZ13)/BA13," - ")</f>
        <v>2.84037558685446</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719</v>
      </c>
      <c r="J16" s="182">
        <v>590</v>
      </c>
      <c r="K16" s="182">
        <v>397</v>
      </c>
      <c r="L16" s="182">
        <v>912</v>
      </c>
      <c r="M16" s="182">
        <v>43</v>
      </c>
      <c r="N16" s="182">
        <v>283</v>
      </c>
      <c r="O16" s="180">
        <v>0</v>
      </c>
      <c r="P16" s="182">
        <v>0</v>
      </c>
      <c r="Q16" s="182">
        <v>0</v>
      </c>
      <c r="R16" s="182">
        <v>113</v>
      </c>
      <c r="S16" s="182">
        <v>651</v>
      </c>
      <c r="T16" s="182">
        <v>710</v>
      </c>
      <c r="U16" s="182">
        <v>688</v>
      </c>
      <c r="V16" s="182">
        <v>673</v>
      </c>
      <c r="W16" s="182">
        <v>78</v>
      </c>
      <c r="X16" s="188">
        <v>447</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651</v>
      </c>
      <c r="AZ16" s="127">
        <f t="shared" si="9"/>
        <v>710</v>
      </c>
      <c r="BA16" s="127">
        <f t="shared" si="9"/>
        <v>688</v>
      </c>
      <c r="BB16" s="127">
        <f t="shared" si="9"/>
        <v>673</v>
      </c>
      <c r="BC16" s="125">
        <f>IF(ISNUMBER(W16),W16," - ")</f>
        <v>78</v>
      </c>
      <c r="BD16" s="126">
        <f t="shared" ref="BD16" si="11">IF(ISNUMBER(BA16/AZ16),BA16/AZ16," - ")</f>
        <v>0.96901408450704229</v>
      </c>
      <c r="BE16" s="127">
        <f t="shared" ref="BE16" si="12">IF(ISNUMBER(BB16/BA16),BB16/BA16, " - ")</f>
        <v>0.97819767441860461</v>
      </c>
      <c r="BF16" s="127">
        <f t="shared" ref="BF16" si="13">IF(ISNUMBER(BC16/BA16),BC16/BA16, " - ")</f>
        <v>0.11337209302325581</v>
      </c>
      <c r="BG16" s="195">
        <f t="shared" si="10"/>
        <v>1.9781976744186047</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26</v>
      </c>
      <c r="J17" s="182">
        <v>71</v>
      </c>
      <c r="K17" s="182">
        <v>42</v>
      </c>
      <c r="L17" s="182">
        <v>55</v>
      </c>
      <c r="M17" s="182">
        <v>3</v>
      </c>
      <c r="N17" s="182">
        <v>34</v>
      </c>
      <c r="O17" s="182">
        <v>0</v>
      </c>
      <c r="P17" s="182">
        <v>0</v>
      </c>
      <c r="Q17" s="182">
        <v>0</v>
      </c>
      <c r="R17" s="182">
        <v>0</v>
      </c>
      <c r="S17" s="182">
        <v>25</v>
      </c>
      <c r="T17" s="182">
        <v>30</v>
      </c>
      <c r="U17" s="182">
        <v>30</v>
      </c>
      <c r="V17" s="182">
        <v>25</v>
      </c>
      <c r="W17" s="182">
        <v>9</v>
      </c>
      <c r="X17" s="188">
        <v>21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25</v>
      </c>
      <c r="AZ17" s="129">
        <f t="shared" si="14"/>
        <v>30</v>
      </c>
      <c r="BA17" s="129">
        <f t="shared" si="14"/>
        <v>30</v>
      </c>
      <c r="BB17" s="129">
        <f t="shared" si="14"/>
        <v>25</v>
      </c>
      <c r="BC17" s="125">
        <f>IF(ISNUMBER(W17),W17," - ")</f>
        <v>9</v>
      </c>
      <c r="BD17" s="126">
        <f>IF(ISNUMBER(BA17/AZ17),BA17/AZ17," - ")</f>
        <v>1</v>
      </c>
      <c r="BE17" s="127">
        <f>IF(ISNUMBER(BB17/BA17),BB17/BA17, " - ")</f>
        <v>0.83333333333333337</v>
      </c>
      <c r="BF17" s="127">
        <f>IF(ISNUMBER(BC17/BA17),BC17/BA17, " - ")</f>
        <v>0.3</v>
      </c>
      <c r="BG17" s="195">
        <f>IF(ISNUMBER((AY17+AZ17)/BA17),(AY17+AZ17)/BA17," - ")</f>
        <v>1.8333333333333333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745</v>
      </c>
      <c r="J18" s="183">
        <f t="shared" si="15"/>
        <v>661</v>
      </c>
      <c r="K18" s="183">
        <f t="shared" si="15"/>
        <v>439</v>
      </c>
      <c r="L18" s="183">
        <f t="shared" si="15"/>
        <v>967</v>
      </c>
      <c r="M18" s="183">
        <f t="shared" si="15"/>
        <v>46</v>
      </c>
      <c r="N18" s="183">
        <f t="shared" si="15"/>
        <v>317</v>
      </c>
      <c r="O18" s="183">
        <f t="shared" si="15"/>
        <v>0</v>
      </c>
      <c r="P18" s="183">
        <f t="shared" si="15"/>
        <v>0</v>
      </c>
      <c r="Q18" s="183">
        <f t="shared" si="15"/>
        <v>0</v>
      </c>
      <c r="R18" s="183">
        <f t="shared" si="15"/>
        <v>113</v>
      </c>
      <c r="S18" s="183">
        <f t="shared" si="15"/>
        <v>676</v>
      </c>
      <c r="T18" s="183">
        <f t="shared" si="15"/>
        <v>740</v>
      </c>
      <c r="U18" s="183">
        <f t="shared" si="15"/>
        <v>718</v>
      </c>
      <c r="V18" s="183">
        <f t="shared" si="15"/>
        <v>698</v>
      </c>
      <c r="W18" s="183">
        <f t="shared" si="15"/>
        <v>87</v>
      </c>
      <c r="X18" s="183">
        <f t="shared" si="15"/>
        <v>468</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676</v>
      </c>
      <c r="AZ18" s="183">
        <f>SUBTOTAL(9,AZ14:AZ17)</f>
        <v>740</v>
      </c>
      <c r="BA18" s="183">
        <f>SUBTOTAL(9,BA14:BA17)</f>
        <v>718</v>
      </c>
      <c r="BB18" s="183">
        <f>SUBTOTAL(9,BB14:BB17)</f>
        <v>698</v>
      </c>
      <c r="BC18" s="183">
        <f>SUBTOTAL(9,BC14:BC17)</f>
        <v>87</v>
      </c>
      <c r="BD18" s="204">
        <f>IF(ISNUMBER(BA18/AZ18),BA18/AZ18," - ")</f>
        <v>0.97027027027027024</v>
      </c>
      <c r="BE18" s="205">
        <f>IF(ISNUMBER(BB18/BA18),BB18/BA18, " - ")</f>
        <v>0.97214484679665736</v>
      </c>
      <c r="BF18" s="205">
        <f>IF(ISNUMBER(BC18/BA18),BC18/BA18, " - ")</f>
        <v>0.12116991643454039</v>
      </c>
      <c r="BG18" s="206">
        <f>IF(ISNUMBER((AY18+AZ18)/BA18),(AY18+AZ18)/BA18," - ")</f>
        <v>1.9721448467966574</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1933</v>
      </c>
      <c r="J19" s="134">
        <f t="shared" si="18"/>
        <v>918</v>
      </c>
      <c r="K19" s="134">
        <f t="shared" si="18"/>
        <v>617</v>
      </c>
      <c r="L19" s="134">
        <f t="shared" si="18"/>
        <v>2234</v>
      </c>
      <c r="M19" s="134">
        <f t="shared" si="18"/>
        <v>159</v>
      </c>
      <c r="N19" s="134">
        <f t="shared" si="18"/>
        <v>318</v>
      </c>
      <c r="O19" s="134">
        <f t="shared" si="18"/>
        <v>0</v>
      </c>
      <c r="P19" s="134">
        <f t="shared" si="18"/>
        <v>95</v>
      </c>
      <c r="Q19" s="134">
        <f t="shared" si="18"/>
        <v>7</v>
      </c>
      <c r="R19" s="134">
        <f t="shared" si="18"/>
        <v>2117</v>
      </c>
      <c r="S19" s="134">
        <f t="shared" si="18"/>
        <v>1896</v>
      </c>
      <c r="T19" s="134">
        <f t="shared" si="18"/>
        <v>1294</v>
      </c>
      <c r="U19" s="134">
        <f t="shared" si="18"/>
        <v>1334</v>
      </c>
      <c r="V19" s="134">
        <f t="shared" si="18"/>
        <v>1856</v>
      </c>
      <c r="W19" s="134">
        <f t="shared" si="18"/>
        <v>263</v>
      </c>
      <c r="X19" s="134">
        <f t="shared" si="18"/>
        <v>545</v>
      </c>
      <c r="Y19" s="134">
        <f t="shared" si="18"/>
        <v>23</v>
      </c>
      <c r="Z19" s="134">
        <f t="shared" si="18"/>
        <v>11</v>
      </c>
      <c r="AA19" s="134">
        <f t="shared" si="18"/>
        <v>0</v>
      </c>
      <c r="AB19" s="134">
        <f t="shared" si="18"/>
        <v>34</v>
      </c>
      <c r="AC19" s="134">
        <f t="shared" si="18"/>
        <v>0</v>
      </c>
      <c r="AD19" s="134">
        <f t="shared" si="18"/>
        <v>0</v>
      </c>
      <c r="AE19" s="134">
        <f t="shared" si="18"/>
        <v>0</v>
      </c>
      <c r="AF19" s="134">
        <f t="shared" si="18"/>
        <v>0</v>
      </c>
      <c r="AG19" s="134">
        <f t="shared" si="18"/>
        <v>20</v>
      </c>
      <c r="AH19" s="134">
        <f t="shared" si="18"/>
        <v>21</v>
      </c>
      <c r="AI19" s="134">
        <f t="shared" si="18"/>
        <v>23</v>
      </c>
      <c r="AJ19" s="134">
        <f t="shared" si="18"/>
        <v>18</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1916</v>
      </c>
      <c r="AZ19" s="134">
        <f>SUBTOTAL(9,AZ9:AZ18)</f>
        <v>1315</v>
      </c>
      <c r="BA19" s="134">
        <f>SUBTOTAL(9,BA9:BA18)</f>
        <v>1357</v>
      </c>
      <c r="BB19" s="134">
        <f>SUBTOTAL(9,BB9:BB18)</f>
        <v>1874</v>
      </c>
      <c r="BC19" s="135">
        <f>SUBTOTAL(9,BC9:BC18)</f>
        <v>164</v>
      </c>
      <c r="BD19" s="212">
        <f>IF(ISNUMBER(BA19/AZ19),BA19/AZ19," - ")</f>
        <v>1.0319391634980988</v>
      </c>
      <c r="BE19" s="209">
        <f>IF(ISNUMBER(BB19/BA19),BB19/BA19, " - ")</f>
        <v>1.3809874723655122</v>
      </c>
      <c r="BF19" s="209">
        <f>IF(ISNUMBER(BC19/BA19),BC19/BA19, " - ")</f>
        <v>0.1208548268238762</v>
      </c>
      <c r="BG19" s="135">
        <f>IF(ISNUMBER((AY19+AZ19)/BA19),(AY19+AZ19)/BA19," - ")</f>
        <v>2.3809874723655122</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G29zlkQtqQ+YxT5NyZELtjnBbH9E1Vuv+CH/QQkEyhaKSHkSM1SGhwOND7/U8pPcCayJB0iDTcf+OKAR0QFug==" saltValue="70PgM5sJER50XQGjeddit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nak+8LnC3o2PjbkL7fn517zIMXZOmWkNSZxxgO05hzE7QYh+LmRptUIUtBaTU3JsS00xf3mGH60aEUPmc6Hdg==" saltValue="QWCF6bKJgLL4eC4XviSbA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CANARIAS</v>
      </c>
    </row>
    <row r="2" spans="1:78" ht="16.5" customHeight="1">
      <c r="C2" s="487" t="str">
        <f>Criterios!A10 &amp;"  "&amp;Criterios!B10 &amp; "  " &amp; IF(NOT(ISBLANK(Criterios!A11)),Criterios!A11 &amp;"  "&amp;Criterios!B11,"")</f>
        <v>Provincias  SANTA CRUZ DE TENERIFE  Resumenes por Partidos Judiciales  PUERTO DE LA CRUZ</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v>
      </c>
      <c r="G10" s="332">
        <f>IF(ISNUMBER(Datos!I10),Datos!I10," - ")</f>
        <v>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3</v>
      </c>
      <c r="BH10" s="259">
        <f>IF(ISNUMBER(((Datos!L10/Datos!K10)*11)/factor_trimestre),((Datos!L10/Datos!K10)*11)/factor_trimestre," - ")</f>
        <v>0</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11</v>
      </c>
      <c r="O12" s="333"/>
      <c r="P12" s="333"/>
      <c r="Q12" s="225">
        <f>IF(ISNUMBER(Datos!P12),Datos!P12,0)</f>
        <v>95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34</v>
      </c>
      <c r="AI12" s="333" t="str">
        <f>IF(ISNUMBER(Datos!CD12),Datos!CD12,"-")</f>
        <v>-</v>
      </c>
      <c r="AJ12" s="333" t="str">
        <f>IF(ISNUMBER(Datos!EN12),Datos!EN12," - ")</f>
        <v xml:space="preserve"> - </v>
      </c>
      <c r="AK12" s="333"/>
      <c r="AL12" s="478"/>
      <c r="AM12" s="334">
        <f>IF(ISNUMBER(Datos!R12),Datos!R12," - ")</f>
        <v>2004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113</v>
      </c>
      <c r="BD12" s="228">
        <f>IF(ISNUMBER(Datos!N12),Datos!N12," - ")</f>
        <v>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0.65543071161048694</v>
      </c>
      <c r="BH12" s="259">
        <f>IF(ISNUMBER(((IF(J_V="SI",Datos!L12/Datos!K12,(Datos!L12+Datos!AB12)/(Datos!K12+Datos!AA12)))*11)/factor_trimestre),((IF(J_V="SI",Datos!L12/Datos!K12,(Datos!L12+Datos!AB12)/(Datos!K12+Datos!AA12)))*11)/factor_trimestre," - ")</f>
        <v>22.302857142857142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4.5929018789144051E-2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3</v>
      </c>
      <c r="F13" s="897">
        <f t="shared" si="0"/>
        <v>2</v>
      </c>
      <c r="G13" s="897">
        <f t="shared" si="0"/>
        <v>2</v>
      </c>
      <c r="H13" s="898">
        <f t="shared" si="0"/>
        <v>0</v>
      </c>
      <c r="I13" s="897">
        <f t="shared" si="0"/>
        <v>0</v>
      </c>
      <c r="J13" s="866">
        <f t="shared" si="0"/>
        <v>0</v>
      </c>
      <c r="K13" s="866">
        <f t="shared" si="0"/>
        <v>0</v>
      </c>
      <c r="L13" s="898">
        <f t="shared" si="0"/>
        <v>0</v>
      </c>
      <c r="M13" s="898">
        <f t="shared" si="0"/>
        <v>0</v>
      </c>
      <c r="N13" s="898">
        <f t="shared" si="0"/>
        <v>11</v>
      </c>
      <c r="O13" s="899">
        <f t="shared" si="0"/>
        <v>0</v>
      </c>
      <c r="P13" s="899">
        <f t="shared" si="0"/>
        <v>0</v>
      </c>
      <c r="Q13" s="898">
        <f t="shared" si="0"/>
        <v>95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v>
      </c>
      <c r="AC13" s="898">
        <f t="shared" si="1"/>
        <v>7</v>
      </c>
      <c r="AD13" s="898">
        <f t="shared" si="1"/>
        <v>0</v>
      </c>
      <c r="AE13" s="898">
        <f t="shared" si="1"/>
        <v>0</v>
      </c>
      <c r="AF13" s="898">
        <f t="shared" si="1"/>
        <v>0</v>
      </c>
      <c r="AG13" s="898">
        <f t="shared" si="1"/>
        <v>0</v>
      </c>
      <c r="AH13" s="898">
        <f t="shared" si="1"/>
        <v>34</v>
      </c>
      <c r="AI13" s="898">
        <f t="shared" si="1"/>
        <v>0</v>
      </c>
      <c r="AJ13" s="898">
        <f t="shared" si="1"/>
        <v>0</v>
      </c>
      <c r="AK13" s="898">
        <f t="shared" si="1"/>
        <v>0</v>
      </c>
      <c r="AL13" s="898">
        <f t="shared" si="1"/>
        <v>0</v>
      </c>
      <c r="AM13" s="898">
        <f t="shared" si="1"/>
        <v>2004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113</v>
      </c>
      <c r="BD13" s="898">
        <f t="shared" si="1"/>
        <v>1</v>
      </c>
      <c r="BE13" s="898">
        <f t="shared" si="1"/>
        <v>0</v>
      </c>
      <c r="BF13" s="898">
        <f t="shared" si="1"/>
        <v>0</v>
      </c>
      <c r="BG13" s="898">
        <f>IF(ISNUMBER(Datos!K13/Datos!J13),Datos!K13/Datos!J13," - ")</f>
        <v>0.69260700389105057</v>
      </c>
      <c r="BH13" s="902">
        <f>IF(ISNUMBER(((Datos!L13/Datos!K13)*11)/factor_trimestre),((Datos!L13/Datos!K13)*11)/factor_trimestre," - ")</f>
        <v>21.353932584269668</v>
      </c>
      <c r="BI13" s="898">
        <f>IF(ISNUMBER('Resol  Asuntos'!D13/NºAsuntos!G13),'Resol  Asuntos'!D13/NºAsuntos!G13," - ")</f>
        <v>0.6348314606741573</v>
      </c>
      <c r="BJ13" s="898" t="str">
        <f>IF(ISNUMBER(Datos!CI13/Datos!CJ13),Datos!CI13/Datos!CJ13," - ")</f>
        <v xml:space="preserve"> - </v>
      </c>
      <c r="BK13" s="898">
        <f>SUBTOTAL(9,BK8:BK12)</f>
        <v>0</v>
      </c>
      <c r="BL13" s="898">
        <f>IF(ISNUMBER((I13-AB13+L13)/(F13)),(I13-AB13+L13)/(F13)," - ")</f>
        <v>-1.5</v>
      </c>
      <c r="BM13" s="903">
        <f>SUBTOTAL(9,BM9:BM12)</f>
        <v>4.5929018789144051E-2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719</v>
      </c>
      <c r="G16" s="597">
        <f>IF(ISNUMBER(IF(D_I="SI",Datos!I16,Datos!I16+Datos!AC16)),IF(D_I="SI",Datos!I16,Datos!I16+Datos!AC16)," - ")</f>
        <v>719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397</v>
      </c>
      <c r="AC16" s="225">
        <f>IF(ISNUMBER(Datos!Q16),Datos!Q16," - ")</f>
        <v>0</v>
      </c>
      <c r="AD16" s="333"/>
      <c r="AE16" s="483"/>
      <c r="AF16" s="595">
        <f>IF(ISNUMBER(IF(D_I="SI",Datos!L16,Datos!L16+Datos!AF16)),IF(D_I="SI",Datos!L16,Datos!L16+Datos!AF16)," - ")</f>
        <v>912</v>
      </c>
      <c r="AG16" s="333"/>
      <c r="AH16" s="333"/>
      <c r="AI16" s="333"/>
      <c r="AJ16" s="333"/>
      <c r="AK16" s="333"/>
      <c r="AL16" s="478"/>
      <c r="AM16" s="334">
        <f>IF(ISNUMBER(Datos!R16),Datos!R16," - ")</f>
        <v>113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43</v>
      </c>
      <c r="BD16" s="228">
        <f>IF(ISNUMBER(Datos!N16),Datos!N16," - ")</f>
        <v>283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0.67288135593220344</v>
      </c>
      <c r="BH16" s="259">
        <f>IF(ISNUMBER(((IF(D_I="SI",Datos!L16/Datos!K16,(Datos!L16+Datos!AF16)/(Datos!K16+Datos!AE16)))*11)/factor_trimestre),((IF(D_I="SI",Datos!L16/Datos!K16,(Datos!L16+Datos!AF16)/(Datos!K16+Datos!AE16)))*11)/factor_trimestre," - ")</f>
        <v>6.8916876574307304</v>
      </c>
      <c r="BI16" s="242">
        <f>IF(ISNUMBER('Resol  Asuntos'!D16/NºAsuntos!G16),'Resol  Asuntos'!D16/NºAsuntos!G16," - ")</f>
        <v>0.10831234256926953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42</v>
      </c>
      <c r="AC17" s="225">
        <f>IF(ISNUMBER(Datos!Q17),Datos!Q17," - ")</f>
        <v>0</v>
      </c>
      <c r="AD17" s="333"/>
      <c r="AE17" s="483"/>
      <c r="AF17" s="331">
        <f>IF(ISNUMBER(Datos!L17),Datos!L17,"-")</f>
        <v>55</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v>
      </c>
      <c r="BD17" s="228">
        <f>IF(ISNUMBER(Datos!N17),Datos!N17," - ")</f>
        <v>34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0.59154929577464788</v>
      </c>
      <c r="BH17" s="259">
        <f>IF(ISNUMBER(((IF(D_I="SI",Datos!L17/Datos!K17,(Datos!L17+Datos!AF17)/(Datos!K17+Datos!AE17)))*11)/factor_trimestre),((IF(D_I="SI",Datos!L17/Datos!K17,(Datos!L17+Datos!AF17)/(Datos!K17+Datos!AE17)))*11)/factor_trimestre," - ")</f>
        <v>3.9285714285714288</v>
      </c>
      <c r="BI17" s="242">
        <f>IF(ISNUMBER('Resol  Asuntos'!D17/NºAsuntos!G17),'Resol  Asuntos'!D17/NºAsuntos!G17," - ")</f>
        <v>7.1428571428571425E-2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3</v>
      </c>
      <c r="F18" s="897">
        <f>SUBTOTAL(9,F15:F17)</f>
        <v>719</v>
      </c>
      <c r="G18" s="897">
        <f>SUBTOTAL(9,G15:G17)</f>
        <v>745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439</v>
      </c>
      <c r="AC18" s="898">
        <f t="shared" si="4"/>
        <v>0</v>
      </c>
      <c r="AD18" s="898">
        <f t="shared" si="4"/>
        <v>0</v>
      </c>
      <c r="AE18" s="898">
        <f t="shared" si="4"/>
        <v>0</v>
      </c>
      <c r="AF18" s="898">
        <f t="shared" si="4"/>
        <v>967</v>
      </c>
      <c r="AG18" s="898">
        <f t="shared" si="4"/>
        <v>0</v>
      </c>
      <c r="AH18" s="898">
        <f t="shared" si="4"/>
        <v>0</v>
      </c>
      <c r="AI18" s="898">
        <f t="shared" si="4"/>
        <v>0</v>
      </c>
      <c r="AJ18" s="898">
        <f t="shared" si="4"/>
        <v>0</v>
      </c>
      <c r="AK18" s="898">
        <f t="shared" si="4"/>
        <v>0</v>
      </c>
      <c r="AL18" s="898">
        <f t="shared" si="4"/>
        <v>0</v>
      </c>
      <c r="AM18" s="898">
        <f t="shared" si="4"/>
        <v>113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46</v>
      </c>
      <c r="BD18" s="898">
        <f t="shared" si="4"/>
        <v>317</v>
      </c>
      <c r="BE18" s="898">
        <f t="shared" si="4"/>
        <v>0</v>
      </c>
      <c r="BF18" s="898">
        <f t="shared" si="4"/>
        <v>0</v>
      </c>
      <c r="BG18" s="898">
        <f>IF(ISNUMBER(Datos!K18/Datos!J18),Datos!K18/Datos!J18," - ")</f>
        <v>0.66414523449319218</v>
      </c>
      <c r="BH18" s="902">
        <f>IF(ISNUMBER(((Datos!L18/Datos!K18)*11)/factor_trimestre),((Datos!L18/Datos!K18)*11)/factor_trimestre," - ")</f>
        <v>6.6082004555808664</v>
      </c>
      <c r="BI18" s="898">
        <f>SUBTOTAL(9,BI15:BI17)</f>
        <v>0.17974091399784095</v>
      </c>
      <c r="BJ18" s="898">
        <f>SUBTOTAL(9,BJ15:BJ17)</f>
        <v>0</v>
      </c>
      <c r="BK18" s="898">
        <f>SUBTOTAL(9,BK15:BK17)</f>
        <v>0</v>
      </c>
      <c r="BL18" s="898">
        <f>IF(ISNUMBER((I18-AB18+L18)/(F18)),(I18-AB18+L18)/(F18)," - ")</f>
        <v>-0.61057023643949926</v>
      </c>
      <c r="BM18" s="904">
        <f>IF(ISNUMBER((Datos!P18-Datos!Q18)/(Datos!R18-Datos!P18+Datos!Q18)),(Datos!P18-Datos!Q18)/(Datos!R18-Datos!P18+Datos!Q18)," - ")</f>
        <v>0</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6</v>
      </c>
      <c r="F19" s="819">
        <f t="shared" si="6"/>
        <v>721</v>
      </c>
      <c r="G19" s="819">
        <f t="shared" si="6"/>
        <v>747</v>
      </c>
      <c r="H19" s="821">
        <f t="shared" si="6"/>
        <v>0</v>
      </c>
      <c r="I19" s="819">
        <f t="shared" si="6"/>
        <v>0</v>
      </c>
      <c r="J19" s="821">
        <f t="shared" si="6"/>
        <v>0</v>
      </c>
      <c r="K19" s="821">
        <f t="shared" si="6"/>
        <v>0</v>
      </c>
      <c r="L19" s="880">
        <f t="shared" si="6"/>
        <v>0</v>
      </c>
      <c r="M19" s="880">
        <f t="shared" si="6"/>
        <v>0</v>
      </c>
      <c r="N19" s="880">
        <f t="shared" si="6"/>
        <v>11</v>
      </c>
      <c r="O19" s="880">
        <f t="shared" si="6"/>
        <v>0</v>
      </c>
      <c r="P19" s="880">
        <f t="shared" si="6"/>
        <v>0</v>
      </c>
      <c r="Q19" s="821">
        <f t="shared" si="6"/>
        <v>95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442</v>
      </c>
      <c r="AC19" s="820">
        <f t="shared" si="7"/>
        <v>7</v>
      </c>
      <c r="AD19" s="820">
        <f t="shared" si="7"/>
        <v>0</v>
      </c>
      <c r="AE19" s="820">
        <f t="shared" si="7"/>
        <v>0</v>
      </c>
      <c r="AF19" s="827">
        <f t="shared" si="7"/>
        <v>967</v>
      </c>
      <c r="AG19" s="827">
        <f t="shared" si="7"/>
        <v>0</v>
      </c>
      <c r="AH19" s="827">
        <f t="shared" si="7"/>
        <v>34</v>
      </c>
      <c r="AI19" s="827">
        <f t="shared" si="7"/>
        <v>0</v>
      </c>
      <c r="AJ19" s="820">
        <f t="shared" si="7"/>
        <v>0</v>
      </c>
      <c r="AK19" s="827">
        <f t="shared" si="7"/>
        <v>0</v>
      </c>
      <c r="AL19" s="827">
        <f t="shared" si="7"/>
        <v>0</v>
      </c>
      <c r="AM19" s="827">
        <f t="shared" si="7"/>
        <v>2117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159</v>
      </c>
      <c r="BD19" s="819">
        <f t="shared" si="7"/>
        <v>318</v>
      </c>
      <c r="BE19" s="819">
        <f t="shared" si="7"/>
        <v>0</v>
      </c>
      <c r="BF19" s="829">
        <f t="shared" si="7"/>
        <v>0</v>
      </c>
      <c r="BG19" s="914">
        <f>IF(ISNUMBER(Datos!K19/Datos!J19),Datos!K19/Datos!J19," - ")</f>
        <v>0.67211328976034856</v>
      </c>
      <c r="BH19" s="914">
        <f>IF(ISNUMBER(((Datos!L19/Datos!K19)*11)/factor_trimestre),((Datos!L19/Datos!K19)*11)/factor_trimestre," - ")</f>
        <v>10.862236628849271</v>
      </c>
      <c r="BI19" s="812">
        <f>IF(ISNUMBER(Datos!J19/Datos!I19),Datos!J19/Datos!I19," - ")</f>
        <v>0.47490946714950855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-0.61303744798890425</v>
      </c>
      <c r="BM19" s="888">
        <f>IF(ISNUMBER((Datos!P19-Datos!Q19+R19)/(Datos!R19-Datos!P19+Datos!Q19-R19)),(Datos!P19-Datos!Q19+R19)/(Datos!R19-Datos!P19+Datos!Q19-R19)," - ")</f>
        <v>4.3371118777723018E-2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298.8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413.96014300896167</v>
      </c>
      <c r="G21" s="551">
        <f>IF(ISNUMBER(STDEV(G8:G18)),STDEV(G8:G18),"-")</f>
        <v>395.68383843669938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221.25822018627917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50.315007701480084</v>
      </c>
      <c r="BD21" s="550"/>
      <c r="BE21" s="550">
        <f>IF(ISNUMBER(STDEV(BE8:BE18)),STDEV(BE8:BE18),"-")</f>
        <v>0</v>
      </c>
      <c r="BF21" s="555">
        <f>IF(ISNUMBER(STDEV(BF8:BF18)),STDEV(BF8:BF18),"-")</f>
        <v>0</v>
      </c>
      <c r="BG21" s="774">
        <f>IF(ISNUMBER(STDEV(BG8:BG18)),STDEV(BG8:BG18),"-")</f>
        <v>0.95782074972752052</v>
      </c>
      <c r="BH21" s="775">
        <f>IF(ISNUMBER(STDEV(BH8:BH18)),STDEV(BH8:BH18),"-")</f>
        <v>9.360597623473998</v>
      </c>
      <c r="BI21" s="248">
        <f>IF(ISNUMBER(STDEV(BI8:BI18)),STDEV(BI8:BI18),"-")</f>
        <v>0.2613979437494201</v>
      </c>
      <c r="BJ21" s="229" t="str">
        <f>IF(ISNUMBER(BL21/BM21),BL21/BM21," - ")</f>
        <v xml:space="preserve"> - </v>
      </c>
      <c r="BK21" s="574"/>
      <c r="BL21" s="558">
        <f>IF(ISNUMBER(STDEV(BL8:BL18)),STDEV(BL8:BL18),"-")</f>
        <v>0.62892181720277784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cvikkgNXaFESVGxJqRTfvp0XQkaZekzvDYiSq7JuzxB9dDNpQV6fjMla0kSsNLDJxvkwkkNNZ21hY6rfAQTYOA==" saltValue="OTJ6CH7Xt+DTDDsdqJ0PB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SANTA CRUZ DE TENERIFE  Resumenes por Partidos Judiciales  PUERTO DE LA CRUZ</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v>
      </c>
      <c r="G10" s="224">
        <f>IF(ISNUMBER(Datos!I10),Datos!I10," - ")</f>
        <v>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0</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95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7</v>
      </c>
      <c r="AA12" s="331" t="str">
        <f>IF(ISNUMBER(IF(J_V="SI",Datos!L12,Datos!L12+Datos!AB12)-IF(Monitorios="SI",Datos!CD12,0)),
                          IF(J_V="SI",Datos!L12,Datos!L12+Datos!AB12)-IF(Monitorios="SI",Datos!CD12,0),
                          " - ")</f>
        <v xml:space="preserve"> - </v>
      </c>
      <c r="AB12" s="333"/>
      <c r="AC12" s="333"/>
      <c r="AD12" s="483"/>
      <c r="AE12" s="483">
        <f>IF(ISNUMBER(Datos!R12),Datos!R12," - ")</f>
        <v>2004</v>
      </c>
      <c r="AF12" s="228" t="str">
        <f>IF(ISNUMBER(Datos!BV12),Datos!BV12," - ")</f>
        <v xml:space="preserve"> - </v>
      </c>
      <c r="AG12" s="224" t="str">
        <f>IF(ISNUMBER(Datos!DV12),Datos!DV12," - ")</f>
        <v xml:space="preserve"> - </v>
      </c>
      <c r="AH12" s="297"/>
      <c r="AI12" s="226"/>
      <c r="AJ12" s="224">
        <f>IF(ISNUMBER(Datos!M12),Datos!M12," - ")</f>
        <v>113</v>
      </c>
      <c r="AK12" s="228">
        <f>IF(ISNUMBER(Datos!N12),Datos!N12," - ")</f>
        <v>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22.302857142857142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4.5929018789144051E-2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3</v>
      </c>
      <c r="F13" s="897">
        <f>SUBTOTAL(9,F8:F12)</f>
        <v>2</v>
      </c>
      <c r="G13" s="897">
        <f>SUBTOTAL(9,G8:G12)</f>
        <v>2</v>
      </c>
      <c r="H13" s="907"/>
      <c r="I13" s="897">
        <f t="shared" ref="I13:N13" si="0">SUBTOTAL(9,I8:I12)</f>
        <v>0</v>
      </c>
      <c r="J13" s="866">
        <f t="shared" si="0"/>
        <v>0</v>
      </c>
      <c r="K13" s="907">
        <f t="shared" si="0"/>
        <v>0</v>
      </c>
      <c r="L13" s="907">
        <f t="shared" si="0"/>
        <v>0</v>
      </c>
      <c r="M13" s="907">
        <f t="shared" si="0"/>
        <v>0</v>
      </c>
      <c r="N13" s="907">
        <f t="shared" si="0"/>
        <v>95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v>
      </c>
      <c r="Z13" s="906">
        <f t="shared" si="2"/>
        <v>7</v>
      </c>
      <c r="AA13" s="899">
        <f t="shared" si="2"/>
        <v>0</v>
      </c>
      <c r="AB13" s="899">
        <f t="shared" si="2"/>
        <v>0</v>
      </c>
      <c r="AC13" s="899">
        <f t="shared" si="2"/>
        <v>0</v>
      </c>
      <c r="AD13" s="899">
        <f t="shared" si="2"/>
        <v>0</v>
      </c>
      <c r="AE13" s="899">
        <f t="shared" si="2"/>
        <v>2004</v>
      </c>
      <c r="AF13" s="907">
        <f t="shared" si="2"/>
        <v>0</v>
      </c>
      <c r="AG13" s="907">
        <f t="shared" si="2"/>
        <v>0</v>
      </c>
      <c r="AH13" s="907">
        <f t="shared" si="2"/>
        <v>0</v>
      </c>
      <c r="AI13" s="907">
        <f t="shared" si="2"/>
        <v>0</v>
      </c>
      <c r="AJ13" s="907">
        <f t="shared" si="2"/>
        <v>113</v>
      </c>
      <c r="AK13" s="907">
        <f t="shared" si="2"/>
        <v>1</v>
      </c>
      <c r="AL13" s="907">
        <f t="shared" si="2"/>
        <v>0</v>
      </c>
      <c r="AM13" s="907">
        <f t="shared" si="2"/>
        <v>0</v>
      </c>
      <c r="AN13" s="907">
        <f t="shared" si="2"/>
        <v>0</v>
      </c>
      <c r="AO13" s="903">
        <f>IF(ISNUMBER(((NºAsuntos!I13/NºAsuntos!G13)*11)/factor_trimestre),((NºAsuntos!I13/NºAsuntos!G13)*11)/factor_trimestre," - ")</f>
        <v>21.926966292134836</v>
      </c>
      <c r="AP13" s="909" t="str">
        <f>IF(ISNUMBER(Datos!CI13/Datos!CJ13),Datos!CI13/Datos!CJ13," - ")</f>
        <v xml:space="preserve"> - </v>
      </c>
      <c r="AQ13" s="927">
        <f t="shared" ref="AQ13:AV13" si="3">SUBTOTAL(9,AQ9:AQ12)</f>
        <v>0</v>
      </c>
      <c r="AR13" s="927">
        <f t="shared" si="3"/>
        <v>4.5929018789144051E-2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719</v>
      </c>
      <c r="G16" s="224">
        <f>IF(ISNUMBER(IF(D_I="SI",Datos!I16,Datos!I16+Datos!AC16)),IF(D_I="SI",Datos!I16,Datos!I16+Datos!AC16)," - ")</f>
        <v>719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397</v>
      </c>
      <c r="Z16" s="618">
        <f>IF(ISNUMBER(Datos!Q16),Datos!Q16," - ")</f>
        <v>0</v>
      </c>
      <c r="AA16" s="331">
        <f>IF(ISNUMBER(IF(D_I="SI",Datos!L16,Datos!L16+Datos!AF16)),IF(D_I="SI",Datos!L16,Datos!L16+Datos!AF16)," - ")</f>
        <v>912</v>
      </c>
      <c r="AB16" s="333"/>
      <c r="AC16" s="333"/>
      <c r="AD16" s="483"/>
      <c r="AE16" s="483">
        <f>IF(ISNUMBER(Datos!R16),Datos!R16," - ")</f>
        <v>113</v>
      </c>
      <c r="AF16" s="228" t="str">
        <f>IF(ISNUMBER(Datos!BV16),Datos!BV16," - ")</f>
        <v xml:space="preserve"> - </v>
      </c>
      <c r="AG16" s="224"/>
      <c r="AH16" s="297"/>
      <c r="AI16" s="226"/>
      <c r="AJ16" s="224">
        <f>IF(ISNUMBER(Datos!M16),Datos!M16," - ")</f>
        <v>43</v>
      </c>
      <c r="AK16" s="228">
        <f>IF(ISNUMBER(Datos!N16),Datos!N16," - ")</f>
        <v>283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6.8916876574307304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42</v>
      </c>
      <c r="Z17" s="618">
        <f>IF(ISNUMBER(Datos!Q17),Datos!Q17," - ")</f>
        <v>0</v>
      </c>
      <c r="AA17" s="331">
        <f>IF(ISNUMBER(Datos!L17),Datos!L17,"-")</f>
        <v>55</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3</v>
      </c>
      <c r="AK17" s="228">
        <f>IF(ISNUMBER(Datos!N17),Datos!N17," - ")</f>
        <v>34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3.9285714285714288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3</v>
      </c>
      <c r="F18" s="897">
        <f>SUBTOTAL(9,F15:F17)</f>
        <v>719</v>
      </c>
      <c r="G18" s="897">
        <f>SUBTOTAL(9,G15:G17)</f>
        <v>745</v>
      </c>
      <c r="H18" s="931">
        <f>SUBTOTAL(9,H15:H17)</f>
        <v>0</v>
      </c>
      <c r="I18" s="910">
        <f>SUBTOTAL(9,I15:I17)</f>
        <v>0</v>
      </c>
      <c r="J18" s="866">
        <f>SUBTOTAL(9,J14:J17)</f>
        <v>0</v>
      </c>
      <c r="K18" s="931">
        <f t="shared" ref="K18:S18" si="4">SUBTOTAL(9,K15:K17)</f>
        <v>0</v>
      </c>
      <c r="L18" s="931">
        <f t="shared" si="4"/>
        <v>0</v>
      </c>
      <c r="M18" s="931">
        <f t="shared" si="4"/>
        <v>0</v>
      </c>
      <c r="N18" s="931">
        <f t="shared" si="4"/>
        <v>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439</v>
      </c>
      <c r="Z18" s="931">
        <f t="shared" si="5"/>
        <v>0</v>
      </c>
      <c r="AA18" s="931">
        <f t="shared" si="5"/>
        <v>967</v>
      </c>
      <c r="AB18" s="931">
        <f t="shared" si="5"/>
        <v>0</v>
      </c>
      <c r="AC18" s="931">
        <f t="shared" si="5"/>
        <v>0</v>
      </c>
      <c r="AD18" s="931">
        <f t="shared" si="5"/>
        <v>0</v>
      </c>
      <c r="AE18" s="931">
        <f t="shared" si="5"/>
        <v>113</v>
      </c>
      <c r="AF18" s="931">
        <f t="shared" si="5"/>
        <v>0</v>
      </c>
      <c r="AG18" s="931">
        <f t="shared" si="5"/>
        <v>0</v>
      </c>
      <c r="AH18" s="931">
        <f t="shared" si="5"/>
        <v>0</v>
      </c>
      <c r="AI18" s="931">
        <f t="shared" si="5"/>
        <v>0</v>
      </c>
      <c r="AJ18" s="931">
        <f t="shared" si="5"/>
        <v>46</v>
      </c>
      <c r="AK18" s="931">
        <f t="shared" si="5"/>
        <v>317</v>
      </c>
      <c r="AL18" s="931">
        <f t="shared" si="5"/>
        <v>0</v>
      </c>
      <c r="AM18" s="931">
        <f t="shared" si="5"/>
        <v>0</v>
      </c>
      <c r="AN18" s="931">
        <f t="shared" si="5"/>
        <v>0</v>
      </c>
      <c r="AO18" s="933">
        <f>IF(ISNUMBER(((NºAsuntos!I18/NºAsuntos!G18)*11)/factor_trimestre),((NºAsuntos!I18/NºAsuntos!G18)*11)/factor_trimestre," - ")</f>
        <v>6.6082004555808664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721</v>
      </c>
      <c r="G19" s="819">
        <f t="shared" si="7"/>
        <v>747</v>
      </c>
      <c r="H19" s="820">
        <f t="shared" si="7"/>
        <v>0</v>
      </c>
      <c r="I19" s="819">
        <f t="shared" si="7"/>
        <v>0</v>
      </c>
      <c r="J19" s="821">
        <f t="shared" si="7"/>
        <v>0</v>
      </c>
      <c r="K19" s="819">
        <f t="shared" si="7"/>
        <v>0</v>
      </c>
      <c r="L19" s="822">
        <f t="shared" si="7"/>
        <v>0</v>
      </c>
      <c r="M19" s="819">
        <f t="shared" si="7"/>
        <v>0</v>
      </c>
      <c r="N19" s="820">
        <f t="shared" si="7"/>
        <v>95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442</v>
      </c>
      <c r="Z19" s="826">
        <f t="shared" si="8"/>
        <v>7</v>
      </c>
      <c r="AA19" s="827">
        <f t="shared" si="8"/>
        <v>967</v>
      </c>
      <c r="AB19" s="827">
        <f t="shared" si="8"/>
        <v>0</v>
      </c>
      <c r="AC19" s="827">
        <f t="shared" si="8"/>
        <v>0</v>
      </c>
      <c r="AD19" s="828">
        <f t="shared" si="8"/>
        <v>0</v>
      </c>
      <c r="AE19" s="828">
        <f t="shared" si="8"/>
        <v>2117</v>
      </c>
      <c r="AF19" s="829">
        <f t="shared" si="8"/>
        <v>0</v>
      </c>
      <c r="AG19" s="830">
        <f t="shared" si="8"/>
        <v>0</v>
      </c>
      <c r="AH19" s="831">
        <f t="shared" si="8"/>
        <v>0</v>
      </c>
      <c r="AI19" s="829">
        <f t="shared" si="8"/>
        <v>0</v>
      </c>
      <c r="AJ19" s="819">
        <f t="shared" si="8"/>
        <v>159</v>
      </c>
      <c r="AK19" s="819">
        <f t="shared" si="8"/>
        <v>318</v>
      </c>
      <c r="AL19" s="819">
        <f t="shared" si="8"/>
        <v>0</v>
      </c>
      <c r="AM19" s="832">
        <f t="shared" si="8"/>
        <v>0</v>
      </c>
      <c r="AN19" s="822">
        <f>IF(ISNUMBER(Datos!K19/Datos!J19),Datos!K19/Datos!J19," - ")</f>
        <v>0.67211328976034856</v>
      </c>
      <c r="AO19" s="822">
        <f>IF(ISNUMBER(FIND("06",Criterios!A8,1)),(IF(ISNUMBER(((Datos!R19/Datos!Q19)*11)/factor_trimestre),((Datos!R19/Datos!Q19)*11)/factor_trimestre," - ")),(IF(ISNUMBER(((Datos!L19/Datos!K19)*11)/factor_trimestre),((Datos!L19/Datos!K19)*11)/factor_trimestre," - ")))</f>
        <v>10.862236628849271</v>
      </c>
      <c r="AP19" s="833" t="str">
        <f>IF(ISNUMBER(Datos!CI19/Datos!CJ19),Datos!CI19/Datos!CJ19," - ")</f>
        <v xml:space="preserve"> - </v>
      </c>
      <c r="AQ19" s="833">
        <f>IF(OR(ISNUMBER(FIND("01",Criterios!A8,1)),ISNUMBER(FIND("02",Criterios!A8,1)),ISNUMBER(FIND("03",Criterios!A8,1)),ISNUMBER(FIND("04",Criterios!A8,1))),(J19-Y19+K19)/(F19-K19),(I19-Y19+K19)/(F19-K19))</f>
        <v>-0.61303744798890425</v>
      </c>
      <c r="AR19" s="833">
        <f>IF(ISNUMBER((Datos!P19-Datos!Q19+O19)/(Datos!R19-Datos!P19+Datos!Q19-O19)),(Datos!P19-Datos!Q19+O19)/(Datos!R19-Datos!P19+Datos!Q19-O19)," - ")</f>
        <v>4.3371118777723018E-2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298.8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413.96014300896167</v>
      </c>
      <c r="G21" s="551">
        <f>IF(ISNUMBER(STDEV(G8:G18)),STDEV(G8:G18),"-")</f>
        <v>395.68383843669938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50.315007701480084</v>
      </c>
      <c r="AK21" s="251"/>
      <c r="AL21" s="251">
        <f>IF(ISNUMBER(STDEV(AL8:AL18)),STDEV(AL8:AL18),"-")</f>
        <v>0</v>
      </c>
      <c r="AM21" s="253">
        <f>IF(ISNUMBER(STDEV(AM8:AM18)),STDEV(AM8:AM18),"-")</f>
        <v>0</v>
      </c>
      <c r="AN21" s="538">
        <f>IF(ISNUMBER(STDEV(AN8:AN18)),STDEV(AN8:AN18),"-")</f>
        <v>0</v>
      </c>
      <c r="AO21" s="539">
        <f>IF(ISNUMBER(STDEV(AO8:AO18)),STDEV(AO8:AO18),"-")</f>
        <v>9.4992910936131238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BqljbhyCSiBCPcD4NQMgRJXM60P+L8Kqw7bvs4xkidvK6axddDBrPY6PpbU6N40bjqnkfOZMxtcBCjET8s4gog==" saltValue="oisQ3qnZr9v/kp0pHmKtl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rP4fsrOTsdU3Ku13CCBQ442p+F1een1dGOZSjoigXxfmhuFoHbuBiGQemhaQVFUV7w0AxxcbI2oz6/DCgmJJpw==" saltValue="qWgCVHGrx0opmIwBJfR6U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2pV6PmavTeqIvyZJ7CuAPkVnc6d2jNbnq/l4UXdmpyjrMUomBWmgBBA6FTIzi1YMWsQMb2JQhE+1zAYCesO/w==" saltValue="Y9BPwQvEzkw3mIyTVANyz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CANARIAS</v>
      </c>
    </row>
    <row r="2" spans="1:78" ht="16.5" customHeight="1">
      <c r="C2" s="487" t="str">
        <f>Criterios!A10 &amp;"  "&amp;Criterios!B10 &amp; "  " &amp; IF(NOT(ISBLANK(Criterios!A11)),Criterios!A11 &amp;"  "&amp;Criterios!B11,"")</f>
        <v>Provincias  SANTA CRUZ DE TENERIFE  Resumenes por Partidos Judiciales  PUERTO DE LA CRUZ</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0.6348314606741573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0.44889363075325772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sqgtq4o2YtcIiqD+THeJjWhQ9ukWcXJqxH8zp0Yfyz6PDyLwDZVtXcNC1WILqrTMvA4VN/QyWSiUOFi8oSTA2A==" saltValue="S60Fs+wssl5qa99XARBsV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g9e1fqT7KeOMO/GAhvLFuMPqRjV7pIemoAHuAs/JDmLT/99/QqKuXN0TaiXDMOEh+Ed5QAsFXwLHkEyrzeLKoA==" saltValue="eQN/+Dj94pw3YAAltoJDO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SANTA CRUZ DE TENERIFE</v>
      </c>
      <c r="D3" s="374"/>
      <c r="E3" s="374"/>
      <c r="F3" s="374"/>
      <c r="BQ3" s="470"/>
    </row>
    <row r="4" spans="1:69" ht="13.5" thickBot="1">
      <c r="A4" s="374"/>
      <c r="B4" s="390" t="str">
        <f>Criterios!A11 &amp;"  "&amp;Criterios!B11</f>
        <v>Resumenes por Partidos Judiciales  PUERTO DE LA CRUZ</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v>
      </c>
      <c r="D10" s="403">
        <f>IF(ISNUMBER(C10/Datos!BH10),C10/Datos!BH10," - ")</f>
        <v>2</v>
      </c>
      <c r="E10" s="402">
        <f>IF(ISNUMBER(Datos!J10),Datos!J10," - ")</f>
        <v>1</v>
      </c>
      <c r="F10" s="403">
        <f>IF(ISNUMBER(E10/B10),E10/B10," - ")</f>
        <v>1</v>
      </c>
      <c r="G10" s="402">
        <f>IF(ISNUMBER(Datos!K10),Datos!K10," - ")</f>
        <v>3</v>
      </c>
      <c r="H10" s="403">
        <f>IF(ISNUMBER(G10/B10),G10/B10," - ")</f>
        <v>3</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1209</v>
      </c>
      <c r="D12" s="403">
        <f>IF(ISNUMBER(C12/Datos!BH12),C12/Datos!BH12," - ")</f>
        <v>403</v>
      </c>
      <c r="E12" s="402">
        <f>IF(ISNUMBER(IF(J_V="SI",Datos!J12,Datos!J12+Datos!Z12)),IF(J_V="SI",Datos!J12,Datos!J12+Datos!Z12)," - ")</f>
        <v>267</v>
      </c>
      <c r="F12" s="403">
        <f>IF(ISNUMBER(E12/B12),E12/B12," - ")</f>
        <v>89</v>
      </c>
      <c r="G12" s="402">
        <f>IF(ISNUMBER(IF(J_V="SI",Datos!K12,Datos!K12+Datos!AA12)),IF(J_V="SI",Datos!K12,Datos!K12+Datos!AA12)," - ")</f>
        <v>175</v>
      </c>
      <c r="H12" s="403">
        <f>IF(ISNUMBER(G12/B12),G12/B12," - ")</f>
        <v>58.333333333333336</v>
      </c>
      <c r="I12" s="402">
        <f>IF(ISNUMBER(IF(J_V="SI",Datos!L12,Datos!L12+Datos!AB12)),IF(J_V="SI",Datos!L12,Datos!L12+Datos!AB12)," - ")</f>
        <v>1301</v>
      </c>
      <c r="J12" s="403">
        <f>IF(ISNUMBER(I12/B12),I12/B12," - ")</f>
        <v>433.66666666666669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1211</v>
      </c>
      <c r="D13" s="849" t="str">
        <f>IF(ISNUMBER(C13/Datos!BI13),C13/Datos!BI13," - ")</f>
        <v xml:space="preserve"> - </v>
      </c>
      <c r="E13" s="848">
        <f>SUBTOTAL(9,E8:E12)</f>
        <v>268</v>
      </c>
      <c r="F13" s="849">
        <f>IF(ISNUMBER(E13/B13),E13/B13," - ")</f>
        <v>89.333333333333329</v>
      </c>
      <c r="G13" s="848">
        <f>SUBTOTAL(9,G8:G12)</f>
        <v>178</v>
      </c>
      <c r="H13" s="849">
        <f>IF(ISNUMBER(G13/B13),G13/B13," - ")</f>
        <v>59.333333333333336</v>
      </c>
      <c r="I13" s="848">
        <f>SUBTOTAL(9,I8:I12)</f>
        <v>1301</v>
      </c>
      <c r="J13" s="849">
        <f>IF(ISNUMBER(I13/B13),I13/B13," - ")</f>
        <v>433.66666666666669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719</v>
      </c>
      <c r="D16" s="403">
        <f>IF(ISNUMBER(C16/Datos!BH16),C16/Datos!BH16," - ")</f>
        <v>239.66666666666666</v>
      </c>
      <c r="E16" s="402">
        <f>IF(ISNUMBER(IF(D_I="SI",Datos!J16,Datos!J16+Datos!AD16)),IF(D_I="SI",Datos!J16,Datos!J16+Datos!AD16)," - ")</f>
        <v>590</v>
      </c>
      <c r="F16" s="403">
        <f>IF(ISNUMBER(E16/B16),E16/B16," - ")</f>
        <v>196.66666666666666</v>
      </c>
      <c r="G16" s="402">
        <f>IF(ISNUMBER(IF(D_I="SI",Datos!K16,Datos!K16+Datos!AE16)),IF(D_I="SI",Datos!K16,Datos!K16+Datos!AE16)," - ")</f>
        <v>397</v>
      </c>
      <c r="H16" s="403">
        <f>IF(ISNUMBER(G16/B16),G16/B16," - ")</f>
        <v>132.33333333333334</v>
      </c>
      <c r="I16" s="402">
        <f>IF(ISNUMBER(IF(D_I="SI",Datos!L16,Datos!L16+Datos!AF16)),IF(D_I="SI",Datos!L16,Datos!L16+Datos!AF16)," - ")</f>
        <v>912</v>
      </c>
      <c r="J16" s="403">
        <f>IF(ISNUMBER(I16/B16),I16/B16," - ")</f>
        <v>304</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26</v>
      </c>
      <c r="D17" s="403">
        <f>IF(ISNUMBER(C17/Datos!BH17),C17/Datos!BH17," - ")</f>
        <v>26</v>
      </c>
      <c r="E17" s="402">
        <f>IF(ISNUMBER(IF(D_I="SI",Datos!J17,Datos!J17+Datos!AD17)),IF(D_I="SI",Datos!J17,Datos!J17+Datos!AD17)," - ")</f>
        <v>71</v>
      </c>
      <c r="F17" s="403">
        <f>IF(ISNUMBER(E17/B17),E17/B17," - ")</f>
        <v>71</v>
      </c>
      <c r="G17" s="402">
        <f>IF(ISNUMBER(IF(D_I="SI",Datos!K17,Datos!K17+Datos!AE17)),IF(D_I="SI",Datos!K17,Datos!K17+Datos!AE17)," - ")</f>
        <v>42</v>
      </c>
      <c r="H17" s="403">
        <f>IF(ISNUMBER(G17/B17),G17/B17," - ")</f>
        <v>42</v>
      </c>
      <c r="I17" s="402">
        <f>IF(ISNUMBER(IF(D_I="SI",Datos!L17,Datos!L17+Datos!AF17)),IF(D_I="SI",Datos!L17,Datos!L17+Datos!AF17)," - ")</f>
        <v>55</v>
      </c>
      <c r="J17" s="403">
        <f>IF(ISNUMBER(I17/B17),I17/B17," - ")</f>
        <v>55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745</v>
      </c>
      <c r="D18" s="849" t="str">
        <f>IF(ISNUMBER(C18/Datos!BI18),C18/Datos!BI18," - ")</f>
        <v xml:space="preserve"> - </v>
      </c>
      <c r="E18" s="848">
        <f>SUBTOTAL(9,E14:E17)</f>
        <v>661</v>
      </c>
      <c r="F18" s="849">
        <f>IF(ISNUMBER(E18/B18),E18/B18," - ")</f>
        <v>220.33333333333334</v>
      </c>
      <c r="G18" s="848">
        <f>SUBTOTAL(9,G14:G17)</f>
        <v>439</v>
      </c>
      <c r="H18" s="849">
        <f>IF(ISNUMBER(G18/B18),G18/B18," - ")</f>
        <v>146.33333333333334</v>
      </c>
      <c r="I18" s="848">
        <f>SUBTOTAL(9,I14:I17)</f>
        <v>967</v>
      </c>
      <c r="J18" s="849">
        <f>IF(ISNUMBER(I18/B18),I18/B18," - ")</f>
        <v>322.33333333333331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1956</v>
      </c>
      <c r="D19" s="794" t="str">
        <f>IF(ISNUMBER(C19/Datos!BI19),C19/Datos!BI19," - ")</f>
        <v xml:space="preserve"> - </v>
      </c>
      <c r="E19" s="793">
        <f>SUBTOTAL(9,E9:E18)</f>
        <v>929</v>
      </c>
      <c r="F19" s="794">
        <f>IF(ISNUMBER(E19/B19),E19/B19," - ")</f>
        <v>309.66666666666669</v>
      </c>
      <c r="G19" s="793">
        <f>SUBTOTAL(9,G9:G18)</f>
        <v>617</v>
      </c>
      <c r="H19" s="794">
        <f>IF(ISNUMBER(G19/B19),G19/B19," - ")</f>
        <v>205.66666666666666</v>
      </c>
      <c r="I19" s="793">
        <f>SUBTOTAL(9,I9:I18)</f>
        <v>2268</v>
      </c>
      <c r="J19" s="794">
        <f>IF(ISNUMBER(I19/B19),I19/B19," - ")</f>
        <v>756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M8mPCUj7wSJHOC8Y6Z1s27ODQCuSAwFvuzdaTZhDmPI3p5oLkvsRR5BiIttiRw++Gx04Yc7DHZEwD62TOCcDxA==" saltValue="8kG6Y1ujamQzbb3QvzsiK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CANARIAS</v>
      </c>
      <c r="W1"/>
      <c r="X1"/>
    </row>
    <row r="2" spans="1:78" ht="16.5" customHeight="1">
      <c r="C2" s="487" t="str">
        <f>Criterios!A10 &amp;"  "&amp;Criterios!B10 &amp; "  " &amp; IF(NOT(ISBLANK(Criterios!A11)),Criterios!A11 &amp;"  "&amp;Criterios!B11,"")</f>
        <v>Provincias  SANTA CRUZ DE TENERIFE  Resumenes por Partidos Judiciales  PUERTO DE LA CRUZ</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v>
      </c>
      <c r="G10" s="683">
        <f>IF(ISNUMBER(Datos!I10),Datos!I10," - ")</f>
        <v>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0</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95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2004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113</v>
      </c>
      <c r="AM12" s="689">
        <f>IF(ISNUMBER(Datos!N12+DatosP!N16),Datos!N12+DatosP!N16," - ")</f>
        <v>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22.302857142857142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4.5929018789144051E-2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2</v>
      </c>
      <c r="G13" s="937">
        <f t="shared" si="0"/>
        <v>2</v>
      </c>
      <c r="H13" s="937">
        <f t="shared" si="0"/>
        <v>0</v>
      </c>
      <c r="I13" s="939">
        <f t="shared" si="0"/>
        <v>0</v>
      </c>
      <c r="J13" s="938">
        <f t="shared" si="0"/>
        <v>0</v>
      </c>
      <c r="K13" s="938">
        <f t="shared" si="0"/>
        <v>0</v>
      </c>
      <c r="L13" s="940">
        <f t="shared" si="0"/>
        <v>0</v>
      </c>
      <c r="M13" s="940">
        <f t="shared" si="0"/>
        <v>0</v>
      </c>
      <c r="N13" s="938">
        <f t="shared" si="0"/>
        <v>95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v>
      </c>
      <c r="AC13" s="938">
        <f t="shared" si="1"/>
        <v>0</v>
      </c>
      <c r="AD13" s="938">
        <f t="shared" si="1"/>
        <v>7</v>
      </c>
      <c r="AE13" s="938">
        <f t="shared" si="1"/>
        <v>0</v>
      </c>
      <c r="AF13" s="938">
        <f t="shared" si="1"/>
        <v>0</v>
      </c>
      <c r="AG13" s="938">
        <f t="shared" si="1"/>
        <v>0</v>
      </c>
      <c r="AH13" s="938">
        <f t="shared" si="1"/>
        <v>2004</v>
      </c>
      <c r="AI13" s="938">
        <f t="shared" si="1"/>
        <v>0</v>
      </c>
      <c r="AJ13" s="938">
        <f t="shared" si="1"/>
        <v>0</v>
      </c>
      <c r="AK13" s="938">
        <f t="shared" si="1"/>
        <v>0</v>
      </c>
      <c r="AL13" s="938">
        <f t="shared" si="1"/>
        <v>113</v>
      </c>
      <c r="AM13" s="938">
        <f t="shared" si="1"/>
        <v>1</v>
      </c>
      <c r="AN13" s="938">
        <f t="shared" si="1"/>
        <v>0</v>
      </c>
      <c r="AO13" s="938">
        <f t="shared" si="1"/>
        <v>0</v>
      </c>
      <c r="AP13" s="943">
        <f>IF(ISNUMBER(((Datos!L13/Datos!K13)*11)/factor_trimestre),((Datos!L13/Datos!K13)*11)/factor_trimestre," - ")</f>
        <v>21.353932584269668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-1.5</v>
      </c>
      <c r="AU13" s="938" t="str">
        <f>IF(ISNUMBER((DatosP!#REF!-DatosP!#REF!+DatosP!#REF!)/(DatosP!#REF!+DatosP!#REF!-DatosP!#REF!-DatosP!#REF!)),(DatosP!#REF!-DatosP!#REF!+DatosP!#REF!)/(DatosP!#REF!+DatosP!#REF!-DatosP!#REF!-DatosP!#REF!)," - ")</f>
        <v xml:space="preserve"> - </v>
      </c>
      <c r="AV13" s="944">
        <f>SUBTOTAL(9,AV9:AV12)</f>
        <v>4.5929018789144051E-2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6.6082004555808664</v>
      </c>
      <c r="AQ18" s="943">
        <f>IF(ISNUMBER(((Datos!M18/Datos!L18)*11)/factor_trimestre),((Datos!M18/Datos!L18)*11)/factor_trimestre," - ")</f>
        <v>0.14270941054808689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v>
      </c>
      <c r="AW18" s="945">
        <f>IF(ISNUMBER((Datos!Q18-Datos!R18)/(Datos!S18-Datos!Q18+Datos!R18)),(Datos!Q18-Datos!R18)/(Datos!S18-Datos!Q18+Datos!R18)," - ")</f>
        <v>-0.14321926489226869</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2</v>
      </c>
      <c r="G19" s="950">
        <f t="shared" si="4"/>
        <v>2</v>
      </c>
      <c r="H19" s="950">
        <f t="shared" si="4"/>
        <v>0</v>
      </c>
      <c r="I19" s="951">
        <f t="shared" si="4"/>
        <v>0</v>
      </c>
      <c r="J19" s="952">
        <f t="shared" si="4"/>
        <v>0</v>
      </c>
      <c r="K19" s="952">
        <f t="shared" si="4"/>
        <v>0</v>
      </c>
      <c r="L19" s="952">
        <f t="shared" si="4"/>
        <v>0</v>
      </c>
      <c r="M19" s="952">
        <f t="shared" si="4"/>
        <v>0</v>
      </c>
      <c r="N19" s="951">
        <f t="shared" si="4"/>
        <v>95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v>
      </c>
      <c r="AC19" s="956">
        <f t="shared" si="5"/>
        <v>0</v>
      </c>
      <c r="AD19" s="956">
        <f t="shared" si="5"/>
        <v>7</v>
      </c>
      <c r="AE19" s="956">
        <f t="shared" si="5"/>
        <v>0</v>
      </c>
      <c r="AF19" s="957">
        <f t="shared" si="5"/>
        <v>0</v>
      </c>
      <c r="AG19" s="957">
        <f t="shared" si="5"/>
        <v>0</v>
      </c>
      <c r="AH19" s="957">
        <f t="shared" si="5"/>
        <v>2004</v>
      </c>
      <c r="AI19" s="957">
        <f t="shared" si="5"/>
        <v>0</v>
      </c>
      <c r="AJ19" s="958">
        <f t="shared" si="5"/>
        <v>0</v>
      </c>
      <c r="AK19" s="958">
        <f t="shared" si="5"/>
        <v>0</v>
      </c>
      <c r="AL19" s="950">
        <f t="shared" si="5"/>
        <v>113</v>
      </c>
      <c r="AM19" s="950">
        <f t="shared" si="5"/>
        <v>1</v>
      </c>
      <c r="AN19" s="950">
        <f t="shared" si="5"/>
        <v>0</v>
      </c>
      <c r="AO19" s="950">
        <f t="shared" si="5"/>
        <v>0</v>
      </c>
      <c r="AP19" s="950">
        <f>IF(ISNUMBER(((Datos!L19/Datos!K19)*11)/factor_trimestre),((Datos!L19/Datos!K19)*11)/factor_trimestre," - ")</f>
        <v>10.862236628849271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4.3371118777723018E-2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1.3333333333333333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1.1547005383792517</v>
      </c>
      <c r="G21" s="736">
        <f>IF(ISNUMBER(STDEV(G8:G18)),STDEV(G8:G18),"-")</f>
        <v>1.1547005383792517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1.7320508075688772</v>
      </c>
      <c r="AC21" s="737">
        <f>IF(ISNUMBER(STDEV(AC8:AC18)),STDEV(AC8:AC18),"-")</f>
        <v>0</v>
      </c>
      <c r="AD21" s="740"/>
      <c r="AE21" s="740"/>
      <c r="AF21" s="740"/>
      <c r="AG21" s="740"/>
      <c r="AH21" s="740"/>
      <c r="AI21" s="740"/>
      <c r="AJ21" s="741">
        <f>IF(ISNUMBER(STDEV(AJ8:AJ18)),STDEV(AJ8:AJ18),"-")</f>
        <v>0</v>
      </c>
      <c r="AK21" s="743"/>
      <c r="AL21" s="735">
        <f>IF(ISNUMBER(STDEV(AL8:AL18)),STDEV(AL8:AL18),"-")</f>
        <v>65.240580418427712</v>
      </c>
      <c r="AM21" s="735"/>
      <c r="AN21" s="735">
        <f>IF(ISNUMBER(STDEV(AN8:AN18)),STDEV(AN8:AN18),"-")</f>
        <v>0</v>
      </c>
      <c r="AO21" s="741">
        <f>IF(ISNUMBER(STDEV(AO8:AO18)),STDEV(AO8:AO18),"-")</f>
        <v>0</v>
      </c>
      <c r="AP21" s="778">
        <f>IF(ISNUMBER(STDEV(AP8:AP18)),STDEV(AP8:AP18),"-")</f>
        <v>11.036815321043209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b9qyqctE4RlzpR7hL31K3Dt+1+VQD2AStQgE+aBXXab84o/h7kLH8lZjZu0X0KSLEWPtBY9JUmMZTqeMmWSeHQ==" saltValue="iBkP+Kp+j2T9LWdUIC+15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CANARIAS</v>
      </c>
      <c r="C2" s="374"/>
      <c r="E2" s="374"/>
      <c r="F2" s="374"/>
      <c r="G2" s="374"/>
      <c r="H2" s="374"/>
    </row>
    <row r="3" spans="1:15" ht="39">
      <c r="A3" s="414" t="s">
        <v>218</v>
      </c>
      <c r="B3" s="390" t="str">
        <f>Criterios!A10 &amp;"  "&amp;Criterios!B10</f>
        <v>Provincias  SANTA CRUZ DE TENERIFE</v>
      </c>
      <c r="C3" s="414"/>
      <c r="F3" s="374"/>
      <c r="G3" s="374"/>
      <c r="H3" s="374"/>
    </row>
    <row r="4" spans="1:15" ht="13.5" thickBot="1">
      <c r="A4" s="374"/>
      <c r="B4" s="390" t="str">
        <f>Criterios!A11 &amp;"  "&amp;Criterios!B11</f>
        <v>Resumenes por Partidos Judiciales  PUERTO DE LA CRUZ</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VkwQ8jh7BtgUZS15n1MTWejDfuz7E89LELKqqxgIQujML9j6VPm3EaGPQozTtozrmwqmWADjZdNu3S7bVh6Olw==" saltValue="CTX3W5MqwrFKkWKWS+Byz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SANTA CRUZ DE TENERIFE</v>
      </c>
      <c r="C3" s="390"/>
      <c r="D3" s="424"/>
      <c r="BZ3" s="470"/>
    </row>
    <row r="4" spans="1:78" ht="13.5" thickBot="1">
      <c r="B4" s="390" t="str">
        <f>Criterios!A11 &amp;"  "&amp;Criterios!B11</f>
        <v>Resumenes por Partidos Judiciales  PUERTO DE LA CRUZ</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113</v>
      </c>
      <c r="E12" s="403">
        <f t="shared" si="0"/>
        <v>37.666666666666664</v>
      </c>
      <c r="F12" s="402">
        <f>IF(ISNUMBER(Datos!N12),Datos!N12," - ")</f>
        <v>1</v>
      </c>
      <c r="G12" s="403">
        <f t="shared" si="1"/>
        <v>0.33333333333333331</v>
      </c>
      <c r="H12" s="402">
        <f>IF(ISNUMBER(Datos!O12),Datos!O12," - ")</f>
        <v>0</v>
      </c>
      <c r="I12" s="403">
        <f t="shared" si="2"/>
        <v>0</v>
      </c>
      <c r="BZ12" s="1185">
        <f>Datos!EZ12</f>
        <v>0</v>
      </c>
    </row>
    <row r="13" spans="1:78" ht="14.25" thickTop="1" thickBot="1">
      <c r="A13" s="847" t="str">
        <f>Datos!A13</f>
        <v>TOTAL</v>
      </c>
      <c r="B13" s="848">
        <f>Datos!AP13</f>
        <v>3</v>
      </c>
      <c r="C13" s="850">
        <f>Datos!AR13</f>
        <v>3</v>
      </c>
      <c r="D13" s="848">
        <f>SUBTOTAL(9,D9:D12)</f>
        <v>113</v>
      </c>
      <c r="E13" s="849">
        <f t="shared" si="0"/>
        <v>37.666666666666664</v>
      </c>
      <c r="F13" s="848">
        <f>SUBTOTAL(9,F9:F12)</f>
        <v>1</v>
      </c>
      <c r="G13" s="849">
        <f t="shared" si="1"/>
        <v>0.33333333333333331</v>
      </c>
      <c r="H13" s="848">
        <f>SUBTOTAL(9,H9:H12)</f>
        <v>0</v>
      </c>
      <c r="I13" s="849">
        <f>IF(ISNUMBER(H13/B13),H13/B13," - ")</f>
        <v>0</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43</v>
      </c>
      <c r="E16" s="403">
        <f t="shared" si="3"/>
        <v>14.333333333333334</v>
      </c>
      <c r="F16" s="402">
        <f>IF(ISNUMBER(Datos!N16),Datos!N16," - ")</f>
        <v>283</v>
      </c>
      <c r="G16" s="403">
        <f t="shared" si="4"/>
        <v>94.333333333333329</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3</v>
      </c>
      <c r="E17" s="403">
        <f>IF(ISNUMBER(D17/B17),D17/B17," - ")</f>
        <v>3</v>
      </c>
      <c r="F17" s="402">
        <f>IF(ISNUMBER(Datos!N17),Datos!N17," - ")</f>
        <v>34</v>
      </c>
      <c r="G17" s="403">
        <f>IF(ISNUMBER(F17/B17),F17/B17," - ")</f>
        <v>34</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46</v>
      </c>
      <c r="E18" s="849">
        <f t="shared" si="3"/>
        <v>15.333333333333334</v>
      </c>
      <c r="F18" s="848">
        <f>SUBTOTAL(9,F15:F17)</f>
        <v>317</v>
      </c>
      <c r="G18" s="849">
        <f t="shared" si="4"/>
        <v>105.66666666666667</v>
      </c>
      <c r="H18" s="848">
        <f>SUBTOTAL(9,H15:H17)</f>
        <v>0</v>
      </c>
      <c r="I18" s="849">
        <f>IF(ISNUMBER(H18/B18),H18/B18," - ")</f>
        <v>0</v>
      </c>
      <c r="BZ18" s="1185"/>
    </row>
    <row r="19" spans="1:78" ht="14.25" thickTop="1" thickBot="1">
      <c r="A19" s="792" t="str">
        <f>Datos!A19</f>
        <v>TOTAL JURISDICCIONES</v>
      </c>
      <c r="B19" s="793">
        <f>Datos!AP19</f>
        <v>3</v>
      </c>
      <c r="C19" s="793">
        <f>Datos!AR19</f>
        <v>3</v>
      </c>
      <c r="D19" s="793">
        <f>SUBTOTAL(9,D8:D18)</f>
        <v>159</v>
      </c>
      <c r="E19" s="794">
        <f>IF(ISNUMBER(D19/B19),D19/B19," - ")</f>
        <v>53</v>
      </c>
      <c r="F19" s="793">
        <f>SUBTOTAL(9,F8:F18)</f>
        <v>318</v>
      </c>
      <c r="G19" s="794">
        <f>IF(ISNUMBER(F19/B19),F19/B19," - ")</f>
        <v>106</v>
      </c>
      <c r="H19" s="793">
        <f>SUBTOTAL(9,H8:H18)</f>
        <v>0</v>
      </c>
      <c r="I19" s="794">
        <f>IF(ISNUMBER(H19/B19),H19/B19," - ")</f>
        <v>0</v>
      </c>
    </row>
    <row r="22" spans="1:78">
      <c r="A22" s="390" t="str">
        <f>Criterios!A4</f>
        <v>Fecha Informe: 17 mar. 2026</v>
      </c>
    </row>
    <row r="27" spans="1:78">
      <c r="A27" s="413"/>
    </row>
  </sheetData>
  <sheetProtection algorithmName="SHA-512" hashValue="IZEzQM3XQqDNK7fMVmynuwXT85C3hF9rX/GYe5Nl9QEuq0kvRUFfMCThOsjGW6BQ5kWXmckXZjZZ31g06wPkOg==" saltValue="JHS7JmciDJToJRT5LLORc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SANTA CRUZ DE TENERIFE</v>
      </c>
    </row>
    <row r="4" spans="1:4" ht="13.5" thickBot="1">
      <c r="B4" s="390" t="str">
        <f>Criterios!A11 &amp;"  "&amp;Criterios!B11</f>
        <v>Resumenes por Partidos Judiciales  PUERTO DE LA CRUZ</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95</v>
      </c>
      <c r="C12" s="433">
        <f>IF(ISNUMBER(Datos!Q12),Datos!Q12," - ")</f>
        <v>7</v>
      </c>
      <c r="D12" s="407">
        <f>IF(ISNUMBER(Datos!R12),Datos!R12," - ")</f>
        <v>2004</v>
      </c>
    </row>
    <row r="13" spans="1:4" ht="14.25" thickTop="1" thickBot="1">
      <c r="A13" s="847" t="str">
        <f>Datos!A13</f>
        <v>TOTAL</v>
      </c>
      <c r="B13" s="848">
        <f>SUBTOTAL(9,B9:B12)</f>
        <v>95</v>
      </c>
      <c r="C13" s="852">
        <f>SUBTOTAL(9,C9:C12)</f>
        <v>7</v>
      </c>
      <c r="D13" s="850">
        <f>SUBTOTAL(9,D9:D12)</f>
        <v>2004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0</v>
      </c>
      <c r="C16" s="433">
        <f>IF(ISNUMBER(Datos!Q16),Datos!Q16," - ")</f>
        <v>0</v>
      </c>
      <c r="D16" s="407">
        <f>IF(ISNUMBER(Datos!R16),Datos!R16," - ")</f>
        <v>113</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0</v>
      </c>
      <c r="C18" s="852">
        <f>SUBTOTAL(9,C15:C17)</f>
        <v>0</v>
      </c>
      <c r="D18" s="850">
        <f>SUBTOTAL(9,D15:D17)</f>
        <v>113</v>
      </c>
    </row>
    <row r="19" spans="1:4" ht="16.5" customHeight="1" thickTop="1" thickBot="1">
      <c r="A19" s="792" t="str">
        <f>Datos!A19</f>
        <v>TOTAL JURISDICCIONES</v>
      </c>
      <c r="B19" s="797">
        <f>SUBTOTAL(9,B8:B18)</f>
        <v>95</v>
      </c>
      <c r="C19" s="798">
        <f>SUBTOTAL(9,C8:C18)</f>
        <v>7</v>
      </c>
      <c r="D19" s="799">
        <f>SUBTOTAL(9,D8:D18)</f>
        <v>2117</v>
      </c>
    </row>
    <row r="20" spans="1:4" ht="7.5" customHeight="1"/>
    <row r="21" spans="1:4" ht="6" customHeight="1"/>
    <row r="22" spans="1:4">
      <c r="A22" s="390" t="str">
        <f>Criterios!A4</f>
        <v>Fecha Informe: 17 mar. 2026</v>
      </c>
    </row>
    <row r="27" spans="1:4">
      <c r="A27" s="413"/>
    </row>
  </sheetData>
  <sheetProtection algorithmName="SHA-512" hashValue="Uotnokjwq10xOzF1cleGY8VajmmcD0lgtd6e8JmznSuxzMiVK5Ul3CDDTqAb9g+IhZiBf4uoJVxotVTIDcDvVA==" saltValue="5Iymnx5pphD69FdkB0rOH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SANTA CRUZ DE TENERIFE</v>
      </c>
    </row>
    <row r="4" spans="1:11" ht="10.5" customHeight="1" thickBot="1">
      <c r="B4" s="390" t="str">
        <f>Criterios!A11 &amp;"  "&amp;Criterios!B11</f>
        <v>Resumenes por Partidos Judiciales  PUERTO DE LA CRUZ</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-0.66666666666666663</v>
      </c>
      <c r="C10" s="455">
        <f>IF(ISNUMBER((Datos!J10-Datos!T10)/Datos!T10),(Datos!J10-Datos!T10)/Datos!T10," - ")</f>
        <v>0</v>
      </c>
      <c r="D10" s="455">
        <f>IF(ISNUMBER((Datos!K10-Datos!U10)/Datos!U10),(Datos!K10-Datos!U10)/Datos!U10," - ")</f>
        <v>0</v>
      </c>
      <c r="E10" s="455">
        <f>IF(ISNUMBER((Datos!L10-Datos!V10)/Datos!V10),(Datos!L10-Datos!V10)/Datos!V10," - ")</f>
        <v>-1</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0</v>
      </c>
      <c r="I10" s="455">
        <f>IF(ISNUMBER(((NºAsuntos!I10/NºAsuntos!G10)-Datos!BE10)/Datos!BE10),((NºAsuntos!I10/NºAsuntos!G10)-Datos!BE10)/Datos!BE10," - ")</f>
        <v>-1</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-0.57142857142857151</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-2.0259319286871962E-2</v>
      </c>
      <c r="C12" s="455">
        <f>IF(ISNUMBER(
   IF(J_V="SI",(Datos!J12-Datos!T12)/Datos!T12,(Datos!J12+Datos!Z12-(Datos!T12+Datos!AH12))/(Datos!T12+Datos!AH12))
     ),IF(J_V="SI",(Datos!J12-Datos!T12)/Datos!T12,(Datos!J12+Datos!Z12-(Datos!T12+Datos!AH12))/(Datos!T12+Datos!AH12))," - ")</f>
        <v>-0.53484320557491294</v>
      </c>
      <c r="D12" s="455">
        <f>IF(ISNUMBER(
   IF(J_V="SI",(Datos!K12-Datos!U12)/Datos!U12,(Datos!K12+Datos!AA12-(Datos!U12+Datos!AI12))/(Datos!U12+Datos!AI12))
     ),IF(J_V="SI",(Datos!K12-Datos!U12)/Datos!U12,(Datos!K12+Datos!AA12-(Datos!U12+Datos!AI12))/(Datos!U12+Datos!AI12))," - ")</f>
        <v>-0.72484276729559749</v>
      </c>
      <c r="E12" s="455">
        <f>IF(ISNUMBER(
   IF(J_V="SI",(Datos!L12-Datos!V12)/Datos!V12,(Datos!L12+Datos!AB12-(Datos!V12+Datos!AJ12))/(Datos!V12+Datos!AJ12))
     ),IF(J_V="SI",(Datos!L12-Datos!V12)/Datos!V12,(Datos!L12+Datos!AB12-(Datos!V12+Datos!AJ12))/(Datos!V12+Datos!AJ12))," - ")</f>
        <v>0.11006825938566553</v>
      </c>
      <c r="F12" s="455">
        <f>IF(ISNUMBER((Datos!M12-Datos!W12)/Datos!W12),(Datos!M12-Datos!W12)/Datos!W12," - ")</f>
        <v>-0.35795454545454547</v>
      </c>
      <c r="G12" s="456">
        <f>IF(ISNUMBER((Datos!N12-Datos!X12)/Datos!X12),(Datos!N12-Datos!X12)/Datos!X12," - ")</f>
        <v>-0.98701298701298701</v>
      </c>
      <c r="H12" s="454">
        <f>IF(ISNUMBER(((NºAsuntos!G12/NºAsuntos!E12)-Datos!BD12)/Datos!BD12),((NºAsuntos!G12/NºAsuntos!E12)-Datos!BD12)/Datos!BD12," - ")</f>
        <v>-0.40846347725720206</v>
      </c>
      <c r="I12" s="455">
        <f>IF(ISNUMBER(((NºAsuntos!I12/NºAsuntos!G12)-Datos!BE12)/Datos!BE12),((NºAsuntos!I12/NºAsuntos!G12)-Datos!BE12)/Datos!BE12," - ")</f>
        <v>3.0343052169673328</v>
      </c>
      <c r="J12" s="460">
        <f>IF(ISNUMBER((('Resol  Asuntos'!D12/NºAsuntos!G12)-Datos!BF12)/Datos!BF12),(('Resol  Asuntos'!D12/NºAsuntos!G12)-Datos!BF12)/Datos!BF12," - ")</f>
        <v>4.3334322820037103</v>
      </c>
      <c r="K12" s="461">
        <f>IF(ISNUMBER((((NºAsuntos!C12+NºAsuntos!E12)/NºAsuntos!G12)-Datos!BG12)/Datos!BG12),(((NºAsuntos!C12+NºAsuntos!E12)/NºAsuntos!G12)-Datos!BG12)/Datos!BG12," - ")</f>
        <v>1.9669279393173198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-2.3387096774193549E-2</v>
      </c>
      <c r="C13" s="854">
        <f>IF(ISNUMBER(
   IF(J_V="SI",(Datos!J13-Datos!T13)/Datos!T13,(Datos!J13+Datos!Z13-(Datos!T13+Datos!AH13))/(Datos!T13+Datos!AH13))
     ),IF(J_V="SI",(Datos!J13-Datos!T13)/Datos!T13,(Datos!J13+Datos!Z13-(Datos!T13+Datos!AH13))/(Datos!T13+Datos!AH13))," - ")</f>
        <v>-0.53391304347826085</v>
      </c>
      <c r="D13" s="854">
        <f>IF(ISNUMBER(
   IF(J_V="SI",(Datos!K13-Datos!U13)/Datos!U13,(Datos!K13+Datos!AA13-(Datos!U13+Datos!AI13))/(Datos!U13+Datos!AI13))
     ),IF(J_V="SI",(Datos!K13-Datos!U13)/Datos!U13,(Datos!K13+Datos!AA13-(Datos!U13+Datos!AI13))/(Datos!U13+Datos!AI13))," - ")</f>
        <v>-0.72143974960876367</v>
      </c>
      <c r="E13" s="854">
        <f>IF(ISNUMBER(
   IF(J_V="SI",(Datos!L13-Datos!V13)/Datos!V13,(Datos!L13+Datos!AB13-(Datos!V13+Datos!AJ13))/(Datos!V13+Datos!AJ13))
     ),IF(J_V="SI",(Datos!L13-Datos!V13)/Datos!V13,(Datos!L13+Datos!AB13-(Datos!V13+Datos!AJ13))/(Datos!V13+Datos!AJ13))," - ")</f>
        <v>0.10629251700680271</v>
      </c>
      <c r="F13" s="855">
        <f>IF(ISNUMBER((Datos!M13-Datos!W13)/Datos!W13),(Datos!M13-Datos!W13)/Datos!W13," - ")</f>
        <v>-0.35795454545454547</v>
      </c>
      <c r="G13" s="856">
        <f>IF(ISNUMBER((Datos!N13-Datos!X13)/Datos!X13),(Datos!N13-Datos!X13)/Datos!X13," - ")</f>
        <v>-0.98701298701298701</v>
      </c>
      <c r="H13" s="856">
        <f>IF(ISNUMBER(((NºAsuntos!G13/NºAsuntos!E13)-Datos!BD13)/Datos!BD13),((NºAsuntos!G13/NºAsuntos!E13)-Datos!BD13)/Datos!BD13," - ")</f>
        <v>-0.40234274636208622</v>
      </c>
      <c r="I13" s="856">
        <f>IF(ISNUMBER(((NºAsuntos!I13/NºAsuntos!G13)-Datos!BE13)/Datos!BE13),((NºAsuntos!I13/NºAsuntos!G13)-Datos!BE13)/Datos!BE13," - ")</f>
        <v>2.9714658335244213</v>
      </c>
      <c r="J13" s="856">
        <f>IF(ISNUMBER((('Resol  Asuntos'!D13/NºAsuntos!G13)-Datos!BF13)/Datos!BF13),(('Resol  Asuntos'!D13/NºAsuntos!G13)-Datos!BF13)/Datos!BF13," - ")</f>
        <v>4.2682766671530716</v>
      </c>
      <c r="K13" s="856">
        <f>IF(ISNUMBER((((NºAsuntos!C13+NºAsuntos!E13)/NºAsuntos!G13)-Datos!BG13)/Datos!BG13),(((NºAsuntos!C13+NºAsuntos!E13)/NºAsuntos!G13)-Datos!BG13)/Datos!BG13," - ")</f>
        <v>1.9253133995728482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0.10445468509984639</v>
      </c>
      <c r="C16" s="455">
        <f>IF(ISNUMBER(
   IF(D_I="SI",(Datos!J16-Datos!T16)/Datos!T16,(Datos!J16+Datos!AD16-(Datos!T16+Datos!AL16))/(Datos!T16+Datos!AL16))
     ),IF(D_I="SI",(Datos!J16-Datos!T16)/Datos!T16,(Datos!J16+Datos!AD16-(Datos!T16+Datos!AL16))/(Datos!T16+Datos!AL16))," - ")</f>
        <v>-0.16901408450704225</v>
      </c>
      <c r="D16" s="455">
        <f>IF(ISNUMBER(
   IF(D_I="SI",(Datos!K16-Datos!U16)/Datos!U16,(Datos!K16+Datos!AE16-(Datos!U16+Datos!AM16))/(Datos!U16+Datos!AM16))
     ),IF(D_I="SI",(Datos!K16-Datos!U16)/Datos!U16,(Datos!K16+Datos!AE16-(Datos!U16+Datos!AM16))/(Datos!U16+Datos!AM16))," - ")</f>
        <v>-0.42296511627906974</v>
      </c>
      <c r="E16" s="455">
        <f>IF(ISNUMBER(
   IF(D_I="SI",(Datos!L16-Datos!V16)/Datos!V16,(Datos!L16+Datos!AF16-(Datos!V16+Datos!AN16))/(Datos!V16+Datos!AN16))
     ),IF(D_I="SI",(Datos!L16-Datos!V16)/Datos!V16,(Datos!L16+Datos!AF16-(Datos!V16+Datos!AN16))/(Datos!V16+Datos!AN16))," - ")</f>
        <v>0.35512630014858843</v>
      </c>
      <c r="F16" s="455">
        <f>IF(ISNUMBER((Datos!M16-Datos!W16)/Datos!W16),(Datos!M16-Datos!W16)/Datos!W16," - ")</f>
        <v>-0.44871794871794873</v>
      </c>
      <c r="G16" s="456">
        <f>IF(ISNUMBER((Datos!N16-Datos!X16)/Datos!X16),(Datos!N16-Datos!X16)/Datos!X16," - ")</f>
        <v>-0.36689038031319909</v>
      </c>
      <c r="H16" s="454">
        <f>IF(ISNUMBER(((NºAsuntos!G16/NºAsuntos!E16)-Datos!BD16)/Datos!BD16),((NºAsuntos!G16/NºAsuntos!E16)-Datos!BD16)/Datos!BD16," - ")</f>
        <v>-0.30560208908159242</v>
      </c>
      <c r="I16" s="455">
        <f>IF(ISNUMBER(((NºAsuntos!I16/NºAsuntos!G16)-Datos!BE16)/Datos!BE16),((NºAsuntos!I16/NºAsuntos!G16)-Datos!BE16)/Datos!BE16," - ")</f>
        <v>1.3484304647411305</v>
      </c>
      <c r="J16" s="460">
        <f>IF(ISNUMBER((('Resol  Asuntos'!D16/NºAsuntos!G16)-Datos!BF16)/Datos!BF16),(('Resol  Asuntos'!D16/NºAsuntos!G16)-Datos!BF16)/Datos!BF16," - ")</f>
        <v>-4.4629593747981554E-2</v>
      </c>
      <c r="K16" s="461">
        <f>IF(ISNUMBER((((NºAsuntos!C16+NºAsuntos!E16)/NºAsuntos!G16)-Datos!BG16)/Datos!BG16),(((NºAsuntos!C16+NºAsuntos!E16)/NºAsuntos!G16)-Datos!BG16)/Datos!BG16," - ")</f>
        <v>0.66678449872944945</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0.04</v>
      </c>
      <c r="C17" s="455">
        <f>IF(ISNUMBER(
   IF(D_I="SI",(Datos!J17-Datos!T17)/Datos!T17,(Datos!J17+Datos!AD17-(Datos!T17+Datos!AL17))/(Datos!T17+Datos!AL17))
     ),IF(D_I="SI",(Datos!J17-Datos!T17)/Datos!T17,(Datos!J17+Datos!AD17-(Datos!T17+Datos!AL17))/(Datos!T17+Datos!AL17))," - ")</f>
        <v>1.3666666666666667</v>
      </c>
      <c r="D17" s="455">
        <f>IF(ISNUMBER(
   IF(D_I="SI",(Datos!K17-Datos!U17)/Datos!U17,(Datos!K17+Datos!AE17-(Datos!U17+Datos!AM17))/(Datos!U17+Datos!AM17))
     ),IF(D_I="SI",(Datos!K17-Datos!U17)/Datos!U17,(Datos!K17+Datos!AE17-(Datos!U17+Datos!AM17))/(Datos!U17+Datos!AM17))," - ")</f>
        <v>0.4</v>
      </c>
      <c r="E17" s="455">
        <f>IF(ISNUMBER(
   IF(D_I="SI",(Datos!L17-Datos!V17)/Datos!V17,(Datos!L17+Datos!AF17-(Datos!V17+Datos!AN17))/(Datos!V17+Datos!AN17))
     ),IF(D_I="SI",(Datos!L17-Datos!V17)/Datos!V17,(Datos!L17+Datos!AF17-(Datos!V17+Datos!AN17))/(Datos!V17+Datos!AN17))," - ")</f>
        <v>1.2</v>
      </c>
      <c r="F17" s="455">
        <f>IF(ISNUMBER((Datos!M17-Datos!W17)/Datos!W17),(Datos!M17-Datos!W17)/Datos!W17," - ")</f>
        <v>-0.66666666666666663</v>
      </c>
      <c r="G17" s="456">
        <f>IF(ISNUMBER((Datos!N17-Datos!X17)/Datos!X17),(Datos!N17-Datos!X17)/Datos!X17," - ")</f>
        <v>0.61904761904761907</v>
      </c>
      <c r="H17" s="454">
        <f>IF(ISNUMBER(((NºAsuntos!G17/NºAsuntos!E17)-Datos!BD17)/Datos!BD17),((NºAsuntos!G17/NºAsuntos!E17)-Datos!BD17)/Datos!BD17," - ")</f>
        <v>-0.40845070422535212</v>
      </c>
      <c r="I17" s="455">
        <f>IF(ISNUMBER(((NºAsuntos!I17/NºAsuntos!G17)-Datos!BE17)/Datos!BE17),((NºAsuntos!I17/NºAsuntos!G17)-Datos!BE17)/Datos!BE17," - ")</f>
        <v>0.5714285714285714</v>
      </c>
      <c r="J17" s="460">
        <f>IF(ISNUMBER((('Resol  Asuntos'!D17/NºAsuntos!G17)-Datos!BF17)/Datos!BF17),(('Resol  Asuntos'!D17/NºAsuntos!G17)-Datos!BF17)/Datos!BF17," - ")</f>
        <v>-0.76190476190476186</v>
      </c>
      <c r="K17" s="461">
        <f>IF(ISNUMBER((((NºAsuntos!C17+NºAsuntos!E17)/NºAsuntos!G17)-Datos!BG17)/Datos!BG17),(((NºAsuntos!C17+NºAsuntos!E17)/NºAsuntos!G17)-Datos!BG17)/Datos!BG17," - ")</f>
        <v>0.25974025974025966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0.10207100591715976</v>
      </c>
      <c r="C18" s="854">
        <f>IF(ISNUMBER(
   IF(Criterios!B14="SI",(Datos!J18-Datos!T18)/Datos!T18,(Datos!J18+Datos!AD18-(Datos!T18+Datos!AL18))/(Datos!T18+Datos!AL18))
     ),IF(Criterios!B14="SI",(Datos!J18-Datos!T18)/Datos!T18,(Datos!J18+Datos!AD18-(Datos!T18+Datos!AL18))/(Datos!T18+Datos!AL18))," - ")</f>
        <v>-0.10675675675675676</v>
      </c>
      <c r="D18" s="854">
        <f>IF(ISNUMBER(
   IF(Criterios!B14="SI",(Datos!K18-Datos!U18)/Datos!U18,(Datos!K18+Datos!AE18-(Datos!U18+Datos!AM18))/(Datos!U18+Datos!AM18))
     ),IF(Criterios!B14="SI",(Datos!K18-Datos!U18)/Datos!U18,(Datos!K18+Datos!AE18-(Datos!U18+Datos!AM18))/(Datos!U18+Datos!AM18))," - ")</f>
        <v>-0.38857938718662954</v>
      </c>
      <c r="E18" s="854">
        <f>IF(ISNUMBER(
   IF(Criterios!B14="SI",(Datos!L18-Datos!V18)/Datos!V18,(Datos!L18+Datos!AF18-(Datos!V18+Datos!AN18))/(Datos!V18+Datos!AN18))
     ),IF(Criterios!B14="SI",(Datos!L18-Datos!V18)/Datos!V18,(Datos!L18+Datos!AF18-(Datos!V18+Datos!AN18))/(Datos!V18+Datos!AN18))," - ")</f>
        <v>0.38538681948424069</v>
      </c>
      <c r="F18" s="855">
        <f>IF(ISNUMBER((Datos!M18-Datos!W18)/Datos!W18),(Datos!M18-Datos!W18)/Datos!W18," - ")</f>
        <v>-0.47126436781609193</v>
      </c>
      <c r="G18" s="856">
        <f>IF(ISNUMBER((Datos!N18-Datos!X18)/Datos!X18),(Datos!N18-Datos!X18)/Datos!X18," - ")</f>
        <v>-0.32264957264957267</v>
      </c>
      <c r="H18" s="856">
        <f>IF(ISNUMBER(((NºAsuntos!G18/NºAsuntos!E18)-Datos!BD18)/Datos!BD18),((NºAsuntos!G18/NºAsuntos!E18)-Datos!BD18)/Datos!BD18," - ")</f>
        <v>-0.31550491152512222</v>
      </c>
      <c r="I18" s="856">
        <f>IF(ISNUMBER(((NºAsuntos!I18/NºAsuntos!G18)-Datos!BE18)/Datos!BE18),((NºAsuntos!I18/NºAsuntos!G18)-Datos!BE18)/Datos!BE18," - ")</f>
        <v>1.265849057835273</v>
      </c>
      <c r="J18" s="856">
        <f>IF(ISNUMBER((('Resol  Asuntos'!D18/NºAsuntos!G18)-Datos!BF18)/Datos!BF18),(('Resol  Asuntos'!D18/NºAsuntos!G18)-Datos!BF18)/Datos!BF18," - ")</f>
        <v>-0.13523420522085194</v>
      </c>
      <c r="K18" s="856">
        <f>IF(ISNUMBER((((NºAsuntos!C18+NºAsuntos!E18)/NºAsuntos!G18)-Datos!BG18)/Datos!BG18),(((NºAsuntos!C18+NºAsuntos!E18)/NºAsuntos!G18)-Datos!BG18)/Datos!BG18," - ")</f>
        <v>0.62398491692727442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2.0876826722338204E-2</v>
      </c>
      <c r="C19" s="801">
        <f>IF(ISNUMBER(
   IF(J_V="SI",(Datos!J19-Datos!T19)/Datos!T19,(Datos!J19+Datos!Z19-(Datos!T19+Datos!AH19))/(Datos!T19+Datos!AH19))
     ),IF(J_V="SI",(Datos!J19-Datos!T19)/Datos!T19,(Datos!J19+Datos!Z19-(Datos!T19+Datos!AH19))/(Datos!T19+Datos!AH19))," - ")</f>
        <v>-0.2935361216730038</v>
      </c>
      <c r="D19" s="801">
        <f>IF(ISNUMBER(
   IF(J_V="SI",(Datos!K19-Datos!U19)/Datos!U19,(Datos!K19+Datos!AA19-(Datos!U19+Datos!AI19))/(Datos!U19+Datos!AI19))
     ),IF(J_V="SI",(Datos!K19-Datos!U19)/Datos!U19,(Datos!K19+Datos!AA19-(Datos!U19+Datos!AI19))/(Datos!U19+Datos!AI19))," - ")</f>
        <v>-0.54532056005895357</v>
      </c>
      <c r="E19" s="801">
        <f>IF(ISNUMBER(
   IF(J_V="SI",(Datos!L19-Datos!V19)/Datos!V19,(Datos!L19+Datos!AB19-(Datos!V19+Datos!AJ19))/(Datos!V19+Datos!AJ19))
     ),IF(J_V="SI",(Datos!L19-Datos!V19)/Datos!V19,(Datos!L19+Datos!AB19-(Datos!V19+Datos!AJ19))/(Datos!V19+Datos!AJ19))," - ")</f>
        <v>0.21024546424759871</v>
      </c>
      <c r="F19" s="802">
        <f>IF(ISNUMBER((Datos!M19-Datos!W19)/Datos!W19),(Datos!M19-Datos!W19)/Datos!W19," - ")</f>
        <v>-0.39543726235741444</v>
      </c>
      <c r="G19" s="803">
        <f>IF(ISNUMBER((Datos!N19-Datos!X19)/Datos!X19),(Datos!N19-Datos!X19)/Datos!X19," - ")</f>
        <v>-0.41651376146788993</v>
      </c>
      <c r="H19" s="804">
        <f>IF(ISNUMBER((Tasas!B19-Datos!BD19)/Datos!BD19),(Tasas!B19-Datos!BD19)/Datos!BD19," - ")</f>
        <v>-0.3564010080490031</v>
      </c>
      <c r="I19" s="805">
        <f>IF(ISNUMBER((Tasas!C19-Datos!BE19)/Datos!BE19),(Tasas!C19-Datos!BE19)/Datos!BE19," - ")</f>
        <v>1.6617554213678951</v>
      </c>
      <c r="J19" s="806">
        <f>IF(ISNUMBER((Tasas!D19-Datos!BF19)/Datos!BF19),(Tasas!D19-Datos!BF19)/Datos!BF19," - ")</f>
        <v>1.1322982962406605</v>
      </c>
      <c r="K19" s="806">
        <f>IF(ISNUMBER((Tasas!E19-Datos!BG19)/Datos!BG19),(Tasas!E19-Datos!BG19)/Datos!BG19," - ")</f>
        <v>0.96382843071601232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k8PKTrn05ptL5nfW+N5PKDkID0VuZfkmmgOql7Zud6YDFgmkhopy4mmNKrlyA6WOQm15GIOsru3eYFXUR85TvQ==" saltValue="UTfw5WRpTP4abJiK9lD8E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SANTA CRUZ DE TENERIFE</v>
      </c>
    </row>
    <row r="4" spans="1:7" ht="11.25" customHeight="1" thickBot="1">
      <c r="B4" s="390" t="str">
        <f>Criterios!A11 &amp;"  "&amp;Criterios!B11</f>
        <v>Resumenes por Partidos Judiciales  PUERTO DE LA CRUZ</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3</v>
      </c>
      <c r="C10" s="442">
        <f>IF(ISNUMBER(NºAsuntos!I10/NºAsuntos!G10),NºAsuntos!I10/NºAsuntos!G10," - ")</f>
        <v>0</v>
      </c>
      <c r="D10" s="443">
        <f>IF(ISNUMBER('Resol  Asuntos'!D10/NºAsuntos!G10),'Resol  Asuntos'!D10/NºAsuntos!G10," - ")</f>
        <v>0</v>
      </c>
      <c r="E10" s="444">
        <f>IF(ISNUMBER((NºAsuntos!C10+NºAsuntos!E10)/NºAsuntos!G10),(NºAsuntos!C10+NºAsuntos!E10)/NºAsuntos!G10," - ")</f>
        <v>1</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0.65543071161048694</v>
      </c>
      <c r="C12" s="442">
        <f>IF(ISNUMBER(NºAsuntos!I12/NºAsuntos!G12),NºAsuntos!I12/NºAsuntos!G12," - ")</f>
        <v>7.4342857142857142</v>
      </c>
      <c r="D12" s="443">
        <f>IF(ISNUMBER('Resol  Asuntos'!D12/NºAsuntos!G12),'Resol  Asuntos'!D12/NºAsuntos!G12," - ")</f>
        <v>0.64571428571428569</v>
      </c>
      <c r="E12" s="444">
        <f>IF(ISNUMBER((NºAsuntos!C12+NºAsuntos!E12)/NºAsuntos!G12),(NºAsuntos!C12+NºAsuntos!E12)/NºAsuntos!G12," - ")</f>
        <v>8.4342857142857142</v>
      </c>
      <c r="G12" s="462"/>
    </row>
    <row r="13" spans="1:7" ht="14.25" thickTop="1" thickBot="1">
      <c r="A13" s="847" t="str">
        <f>Datos!A13</f>
        <v>TOTAL</v>
      </c>
      <c r="B13" s="857">
        <f>IF(ISNUMBER(NºAsuntos!G13/NºAsuntos!E13),NºAsuntos!G13/NºAsuntos!E13," - ")</f>
        <v>0.66417910447761197</v>
      </c>
      <c r="C13" s="858">
        <f>IF(ISNUMBER(NºAsuntos!I13/NºAsuntos!G13),NºAsuntos!I13/NºAsuntos!G13," - ")</f>
        <v>7.308988764044944</v>
      </c>
      <c r="D13" s="859">
        <f>IF(ISNUMBER('Resol  Asuntos'!D13/NºAsuntos!G13),'Resol  Asuntos'!D13/NºAsuntos!G13," - ")</f>
        <v>0.6348314606741573</v>
      </c>
      <c r="E13" s="860">
        <f>IF(ISNUMBER((NºAsuntos!C13+NºAsuntos!E13)/NºAsuntos!G13),(NºAsuntos!C13+NºAsuntos!E13)/NºAsuntos!G13," - ")</f>
        <v>8.308988764044944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0.67288135593220344</v>
      </c>
      <c r="C16" s="442">
        <f>IF(ISNUMBER(NºAsuntos!I16/NºAsuntos!G16),NºAsuntos!I16/NºAsuntos!G16," - ")</f>
        <v>2.2972292191435768</v>
      </c>
      <c r="D16" s="443">
        <f>IF(ISNUMBER('Resol  Asuntos'!D16/NºAsuntos!G16),'Resol  Asuntos'!D16/NºAsuntos!G16," - ")</f>
        <v>0.10831234256926953</v>
      </c>
      <c r="E16" s="444">
        <f>IF(ISNUMBER((NºAsuntos!C16+NºAsuntos!E16)/NºAsuntos!G16),(NºAsuntos!C16+NºAsuntos!E16)/NºAsuntos!G16," - ")</f>
        <v>3.2972292191435768</v>
      </c>
      <c r="G16" s="462"/>
    </row>
    <row r="17" spans="1:7" ht="21.75" thickBot="1">
      <c r="A17" s="401" t="str">
        <f>Datos!A17</f>
        <v>Jdos. Violencia contra la mujer/Secc Viol. TI.</v>
      </c>
      <c r="B17" s="441">
        <f>IF(ISNUMBER(NºAsuntos!G17/NºAsuntos!E17),NºAsuntos!G17/NºAsuntos!E17," - ")</f>
        <v>0.59154929577464788</v>
      </c>
      <c r="C17" s="442">
        <f>IF(ISNUMBER(NºAsuntos!I17/NºAsuntos!G17),NºAsuntos!I17/NºAsuntos!G17," - ")</f>
        <v>1.3095238095238095</v>
      </c>
      <c r="D17" s="443">
        <f>IF(ISNUMBER('Resol  Asuntos'!D17/NºAsuntos!G17),'Resol  Asuntos'!D17/NºAsuntos!G17," - ")</f>
        <v>7.1428571428571425E-2</v>
      </c>
      <c r="E17" s="444">
        <f>IF(ISNUMBER((NºAsuntos!C17+NºAsuntos!E17)/NºAsuntos!G17),(NºAsuntos!C17+NºAsuntos!E17)/NºAsuntos!G17," - ")</f>
        <v>2.3095238095238093</v>
      </c>
      <c r="G17" s="462"/>
    </row>
    <row r="18" spans="1:7" ht="14.25" thickTop="1" thickBot="1">
      <c r="A18" s="847" t="str">
        <f>Datos!A18</f>
        <v>TOTAL</v>
      </c>
      <c r="B18" s="857">
        <f>IF(ISNUMBER(NºAsuntos!G18/NºAsuntos!E18),NºAsuntos!G18/NºAsuntos!E18," - ")</f>
        <v>0.66414523449319218</v>
      </c>
      <c r="C18" s="858">
        <f>IF(ISNUMBER(NºAsuntos!I18/NºAsuntos!G18),NºAsuntos!I18/NºAsuntos!G18," - ")</f>
        <v>2.202733485193622</v>
      </c>
      <c r="D18" s="861">
        <f>IF(ISNUMBER('Resol  Asuntos'!D18/NºAsuntos!G18),'Resol  Asuntos'!D18/NºAsuntos!G18," - ")</f>
        <v>0.10478359908883828</v>
      </c>
      <c r="E18" s="860">
        <f>IF(ISNUMBER((NºAsuntos!C18+NºAsuntos!E18)/NºAsuntos!G18),(NºAsuntos!C18+NºAsuntos!E18)/NºAsuntos!G18," - ")</f>
        <v>3.202733485193622</v>
      </c>
      <c r="G18" s="462"/>
    </row>
    <row r="19" spans="1:7" ht="15.75" customHeight="1" thickTop="1" thickBot="1">
      <c r="A19" s="792" t="str">
        <f>Datos!A19</f>
        <v>TOTAL JURISDICCIONES</v>
      </c>
      <c r="B19" s="807">
        <f>IF(ISNUMBER(NºAsuntos!G19/NºAsuntos!E19),NºAsuntos!G19/NºAsuntos!E19," - ")</f>
        <v>0.66415500538213135</v>
      </c>
      <c r="C19" s="808">
        <f>IF(ISNUMBER(NºAsuntos!I19/NºAsuntos!G19),NºAsuntos!I19/NºAsuntos!G19," - ")</f>
        <v>3.6758508914100485</v>
      </c>
      <c r="D19" s="809">
        <f>IF(ISNUMBER('Resol  Asuntos'!D19/NºAsuntos!G19),'Resol  Asuntos'!D19/NºAsuntos!G19," - ")</f>
        <v>0.25769854132901132</v>
      </c>
      <c r="E19" s="810">
        <f>IF(ISNUMBER((NºAsuntos!C19+NºAsuntos!E19)/NºAsuntos!G19),(NºAsuntos!C19+NºAsuntos!E19)/NºAsuntos!G19," - ")</f>
        <v>4.6758508914100485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g9NFcS5v7DBS/cIyopvusmpZ0rB25tQv7vZ0ouub/EBOUh6JuXcWNY78y2cOXcM6T1T9d5wv+MSYRWk0W3+fEQ==" saltValue="UPTGC5tnuh/+S5DTtD3eB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SANTA CRUZ DE TENERIFE</v>
      </c>
      <c r="N2" s="261" t="str">
        <f>Criterios!A11 &amp;"  "&amp;Criterios!B11</f>
        <v>Resumenes por Partidos Judiciales  PUERTO DE LA CRUZ</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v>
      </c>
      <c r="G10" s="332">
        <f>IF(ISNUMBER(Datos!I10),Datos!I10," - ")</f>
        <v>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3</v>
      </c>
      <c r="AM10" s="259">
        <f>IF(ISNUMBER(((NºAsuntos!I10/NºAsuntos!G10)*11)/factor_trimestre),((NºAsuntos!I10/NºAsuntos!G10)*11)/factor_trimestre," - ")</f>
        <v>0</v>
      </c>
      <c r="AN10" s="243">
        <f>IF(ISNUMBER('Resol  Asuntos'!D10/NºAsuntos!G10),'Resol  Asuntos'!D10/NºAsuntos!G10," - ")</f>
        <v>0</v>
      </c>
      <c r="AO10" s="244">
        <f>IF(ISNUMBER((NºAsuntos!C10+NºAsuntos!E10)/NºAsuntos!G10),(NºAsuntos!C10+NºAsuntos!E10)/NºAsuntos!G10," - ")</f>
        <v>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95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v>
      </c>
      <c r="Y12" s="333">
        <f t="shared" si="0"/>
        <v>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2004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113</v>
      </c>
      <c r="AJ12" s="228" t="str">
        <f>IF(ISNUMBER(Datos!BW12),Datos!BW12," - ")</f>
        <v xml:space="preserve"> - </v>
      </c>
      <c r="AK12" s="227" t="str">
        <f>IF(ISNUMBER(Datos!BX12),Datos!BX12," - ")</f>
        <v xml:space="preserve"> - </v>
      </c>
      <c r="AL12" s="242">
        <f>IF(ISNUMBER(NºAsuntos!G12/NºAsuntos!E12),NºAsuntos!G12/NºAsuntos!E12," - ")</f>
        <v>0.65543071161048694</v>
      </c>
      <c r="AM12" s="259">
        <f>IF(ISNUMBER(((NºAsuntos!I12/NºAsuntos!G12)*11)/factor_trimestre),((NºAsuntos!I12/NºAsuntos!G12)*11)/factor_trimestre," - ")</f>
        <v>22.302857142857142</v>
      </c>
      <c r="AN12" s="243">
        <f>IF(ISNUMBER('Resol  Asuntos'!D12/NºAsuntos!G12),'Resol  Asuntos'!D12/NºAsuntos!G12," - ")</f>
        <v>0.64571428571428569</v>
      </c>
      <c r="AO12" s="244">
        <f>IF(ISNUMBER((NºAsuntos!C12+NºAsuntos!E12)/NºAsuntos!G12),(NºAsuntos!C12+NºAsuntos!E12)/NºAsuntos!G12," - ")</f>
        <v>8.4342857142857142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2</v>
      </c>
      <c r="G13" s="865">
        <f t="shared" si="3"/>
        <v>2</v>
      </c>
      <c r="H13" s="864">
        <f t="shared" si="3"/>
        <v>0</v>
      </c>
      <c r="I13" s="866">
        <f t="shared" si="3"/>
        <v>0</v>
      </c>
      <c r="J13" s="866">
        <f t="shared" si="3"/>
        <v>0</v>
      </c>
      <c r="K13" s="866">
        <f t="shared" si="3"/>
        <v>0</v>
      </c>
      <c r="L13" s="866">
        <f t="shared" si="3"/>
        <v>95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v>
      </c>
      <c r="X13" s="866">
        <f t="shared" si="4"/>
        <v>7</v>
      </c>
      <c r="Y13" s="867">
        <f t="shared" si="4"/>
        <v>10</v>
      </c>
      <c r="Z13" s="867">
        <f t="shared" si="4"/>
        <v>0</v>
      </c>
      <c r="AA13" s="867">
        <f t="shared" si="4"/>
        <v>0</v>
      </c>
      <c r="AB13" s="867">
        <f t="shared" si="4"/>
        <v>2004</v>
      </c>
      <c r="AC13" s="867">
        <f t="shared" si="4"/>
        <v>0</v>
      </c>
      <c r="AD13" s="867">
        <f t="shared" si="4"/>
        <v>0</v>
      </c>
      <c r="AE13" s="871">
        <f t="shared" si="4"/>
        <v>0</v>
      </c>
      <c r="AF13" s="864">
        <f t="shared" si="4"/>
        <v>0</v>
      </c>
      <c r="AG13" s="872">
        <f t="shared" si="4"/>
        <v>0</v>
      </c>
      <c r="AH13" s="869">
        <f t="shared" si="4"/>
        <v>0</v>
      </c>
      <c r="AI13" s="864">
        <f t="shared" si="4"/>
        <v>113</v>
      </c>
      <c r="AJ13" s="866">
        <f t="shared" si="4"/>
        <v>0</v>
      </c>
      <c r="AK13" s="869">
        <f>SUBTOTAL(9,AK9:AK12)</f>
        <v>0</v>
      </c>
      <c r="AL13" s="873">
        <f>IF(ISNUMBER(NºAsuntos!G13/NºAsuntos!E13),NºAsuntos!G13/NºAsuntos!E13," - ")</f>
        <v>0.66417910447761197</v>
      </c>
      <c r="AM13" s="873">
        <f>IF(ISNUMBER(((NºAsuntos!I13/NºAsuntos!G13)*11)/factor_trimestre),((NºAsuntos!I13/NºAsuntos!G13)*11)/factor_trimestre," - ")</f>
        <v>21.926966292134836</v>
      </c>
      <c r="AN13" s="874">
        <f>IF(ISNUMBER('Resol  Asuntos'!D13/NºAsuntos!G13),'Resol  Asuntos'!D13/NºAsuntos!G13," - ")</f>
        <v>0.6348314606741573</v>
      </c>
      <c r="AO13" s="875">
        <f>IF(ISNUMBER((NºAsuntos!C13+NºAsuntos!E13)/NºAsuntos!G13),(NºAsuntos!C13+NºAsuntos!E13)/NºAsuntos!G13," - ")</f>
        <v>8.308988764044944</v>
      </c>
      <c r="AP13" s="876" t="str">
        <f t="shared" si="2"/>
        <v xml:space="preserve"> - </v>
      </c>
      <c r="AQ13" s="876">
        <f>IF(ISNUMBER((H13-W13+K13)/(F13)),(H13-W13+K13)/(F13)," - ")</f>
        <v>-1.5</v>
      </c>
      <c r="AR13" s="877">
        <f>IF(ISNUMBER((Datos!P13-Datos!Q13)/(Datos!R13-Datos!P13+Datos!Q13)),(Datos!P13-Datos!Q13)/(Datos!R13-Datos!P13+Datos!Q13)," - ")</f>
        <v>4.5929018789144051E-2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719</v>
      </c>
      <c r="G16" s="332">
        <f>IF(ISNUMBER(IF(D_I="SI",Datos!I16,Datos!I16+Datos!AC16)),IF(D_I="SI",Datos!I16,Datos!I16+Datos!AC16)," - ")</f>
        <v>719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397</v>
      </c>
      <c r="X16" s="225">
        <f>IF(ISNUMBER(Datos!Q16),Datos!Q16," - ")</f>
        <v>0</v>
      </c>
      <c r="Y16" s="333">
        <f t="shared" ref="Y16:Y17" si="7">SUM(W16:X16)</f>
        <v>397</v>
      </c>
      <c r="Z16" s="334" t="str">
        <f>IF(ISNUMBER(Datos!CC16),Datos!CC16," - ")</f>
        <v xml:space="preserve"> - </v>
      </c>
      <c r="AA16" s="331">
        <f>IF(ISNUMBER(IF(D_I="SI",Datos!L16,Datos!L16+Datos!AF16)),IF(D_I="SI",Datos!L16,Datos!L16+Datos!AF16)," - ")</f>
        <v>912</v>
      </c>
      <c r="AB16" s="333">
        <f>IF(ISNUMBER(Datos!R16),Datos!R16," - ")</f>
        <v>113</v>
      </c>
      <c r="AC16" s="333">
        <f t="shared" si="6"/>
        <v>1025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43</v>
      </c>
      <c r="AJ16" s="230" t="str">
        <f>IF(ISNUMBER(Datos!BW16),Datos!BW16," - ")</f>
        <v xml:space="preserve"> - </v>
      </c>
      <c r="AK16" s="231" t="str">
        <f>IF(ISNUMBER(Datos!BX16),Datos!BX16," - ")</f>
        <v xml:space="preserve"> - </v>
      </c>
      <c r="AL16" s="242">
        <f>IF(ISNUMBER(NºAsuntos!G16/NºAsuntos!E16),NºAsuntos!G16/NºAsuntos!E16," - ")</f>
        <v>0.67288135593220344</v>
      </c>
      <c r="AM16" s="259">
        <f>IF(ISNUMBER(((NºAsuntos!I16/NºAsuntos!G16)*11)/factor_trimestre),((NºAsuntos!I16/NºAsuntos!G16)*11)/factor_trimestre," - ")</f>
        <v>6.8916876574307304</v>
      </c>
      <c r="AN16" s="243">
        <f>IF(ISNUMBER('Resol  Asuntos'!D16/NºAsuntos!G16),'Resol  Asuntos'!D16/NºAsuntos!G16," - ")</f>
        <v>0.10831234256926953</v>
      </c>
      <c r="AO16" s="244">
        <f>IF(ISNUMBER((NºAsuntos!C16+NºAsuntos!E16)/NºAsuntos!G16),(NºAsuntos!C16+NºAsuntos!E16)/NºAsuntos!G16," - ")</f>
        <v>3.2972292191435768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42</v>
      </c>
      <c r="X17" s="225">
        <f>IF(ISNUMBER(Datos!Q17),Datos!Q17," - ")</f>
        <v>0</v>
      </c>
      <c r="Y17" s="333">
        <f t="shared" si="7"/>
        <v>42</v>
      </c>
      <c r="Z17" s="334" t="str">
        <f>IF(ISNUMBER(Datos!CC17),Datos!CC17," - ")</f>
        <v xml:space="preserve"> - </v>
      </c>
      <c r="AA17" s="331">
        <f>IF(ISNUMBER(Datos!L17),Datos!L17,"-")</f>
        <v>55</v>
      </c>
      <c r="AB17" s="333">
        <f>IF(ISNUMBER(Datos!R17),Datos!R17," - ")</f>
        <v>0</v>
      </c>
      <c r="AC17" s="333">
        <f t="shared" si="6"/>
        <v>55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v>
      </c>
      <c r="AJ17" s="230" t="str">
        <f>IF(ISNUMBER(Datos!BW17),Datos!BW17," - ")</f>
        <v xml:space="preserve"> - </v>
      </c>
      <c r="AK17" s="231" t="str">
        <f>IF(ISNUMBER(Datos!BX17),Datos!BX17," - ")</f>
        <v xml:space="preserve"> - </v>
      </c>
      <c r="AL17" s="242">
        <f>IF(ISNUMBER(NºAsuntos!G17/NºAsuntos!E17),NºAsuntos!G17/NºAsuntos!E17," - ")</f>
        <v>0.59154929577464788</v>
      </c>
      <c r="AM17" s="259">
        <f>IF(ISNUMBER(((NºAsuntos!I17/NºAsuntos!G17)*11)/factor_trimestre),((NºAsuntos!I17/NºAsuntos!G17)*11)/factor_trimestre," - ")</f>
        <v>3.9285714285714288</v>
      </c>
      <c r="AN17" s="243">
        <f>IF(ISNUMBER('Resol  Asuntos'!D17/NºAsuntos!G17),'Resol  Asuntos'!D17/NºAsuntos!G17," - ")</f>
        <v>7.1428571428571425E-2</v>
      </c>
      <c r="AO17" s="244">
        <f>IF(ISNUMBER((NºAsuntos!C17+NºAsuntos!E17)/NºAsuntos!G17),(NºAsuntos!C17+NºAsuntos!E17)/NºAsuntos!G17," - ")</f>
        <v>2.3095238095238093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719</v>
      </c>
      <c r="G18" s="865">
        <f>SUBTOTAL(9,G15:G17)</f>
        <v>745</v>
      </c>
      <c r="H18" s="864">
        <f t="shared" ref="H18:O18" si="10">SUBTOTAL(9,H14:H17)</f>
        <v>0</v>
      </c>
      <c r="I18" s="866">
        <f t="shared" si="10"/>
        <v>0</v>
      </c>
      <c r="J18" s="866">
        <f t="shared" si="10"/>
        <v>0</v>
      </c>
      <c r="K18" s="866">
        <f t="shared" si="10"/>
        <v>0</v>
      </c>
      <c r="L18" s="866">
        <f t="shared" si="10"/>
        <v>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439</v>
      </c>
      <c r="X18" s="866">
        <f t="shared" si="11"/>
        <v>0</v>
      </c>
      <c r="Y18" s="867">
        <f t="shared" si="11"/>
        <v>439</v>
      </c>
      <c r="Z18" s="867">
        <f t="shared" si="11"/>
        <v>0</v>
      </c>
      <c r="AA18" s="867">
        <f t="shared" si="11"/>
        <v>967</v>
      </c>
      <c r="AB18" s="867">
        <f t="shared" si="11"/>
        <v>113</v>
      </c>
      <c r="AC18" s="867">
        <f t="shared" si="11"/>
        <v>1080</v>
      </c>
      <c r="AD18" s="867">
        <f t="shared" si="11"/>
        <v>0</v>
      </c>
      <c r="AE18" s="871">
        <f t="shared" si="11"/>
        <v>0</v>
      </c>
      <c r="AF18" s="864">
        <f t="shared" si="11"/>
        <v>0</v>
      </c>
      <c r="AG18" s="872">
        <f t="shared" si="11"/>
        <v>0</v>
      </c>
      <c r="AH18" s="869">
        <f t="shared" si="11"/>
        <v>0</v>
      </c>
      <c r="AI18" s="864">
        <f t="shared" si="11"/>
        <v>46</v>
      </c>
      <c r="AJ18" s="866">
        <f t="shared" si="11"/>
        <v>0</v>
      </c>
      <c r="AK18" s="869">
        <f t="shared" si="11"/>
        <v>0</v>
      </c>
      <c r="AL18" s="873">
        <f>IF(ISNUMBER(NºAsuntos!G18/NºAsuntos!E18),NºAsuntos!G18/NºAsuntos!E18," - ")</f>
        <v>0.66414523449319218</v>
      </c>
      <c r="AM18" s="873">
        <f>IF(ISNUMBER(((NºAsuntos!I18/NºAsuntos!G18)*11)/factor_trimestre),((NºAsuntos!I18/NºAsuntos!G18)*11)/factor_trimestre," - ")</f>
        <v>6.6082004555808664</v>
      </c>
      <c r="AN18" s="874">
        <f>IF(ISNUMBER('Resol  Asuntos'!D18/NºAsuntos!G18),'Resol  Asuntos'!D18/NºAsuntos!G18," - ")</f>
        <v>0.10478359908883828</v>
      </c>
      <c r="AO18" s="875">
        <f>IF(ISNUMBER((NºAsuntos!C18+NºAsuntos!E18)/NºAsuntos!G18),(NºAsuntos!C18+NºAsuntos!E18)/NºAsuntos!G18," - ")</f>
        <v>3.202733485193622</v>
      </c>
      <c r="AP18" s="876" t="str">
        <f t="shared" si="2"/>
        <v xml:space="preserve"> - </v>
      </c>
      <c r="AQ18" s="876">
        <f>IF(ISNUMBER((H18-W18+K18)/(F18)),(H18-W18+K18)/(F18)," - ")</f>
        <v>-0.61057023643949926</v>
      </c>
      <c r="AR18" s="877">
        <f>IF(ISNUMBER((Datos!P18-Datos!Q18)/(Datos!R18-Datos!P18+Datos!Q18)),(Datos!P18-Datos!Q18)/(Datos!R18-Datos!P18+Datos!Q18)," - ")</f>
        <v>0</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721</v>
      </c>
      <c r="G19" s="820">
        <f t="shared" si="13"/>
        <v>747</v>
      </c>
      <c r="H19" s="819">
        <f t="shared" si="13"/>
        <v>0</v>
      </c>
      <c r="I19" s="821">
        <f t="shared" si="13"/>
        <v>0</v>
      </c>
      <c r="J19" s="821">
        <f t="shared" si="13"/>
        <v>0</v>
      </c>
      <c r="K19" s="880">
        <f t="shared" si="13"/>
        <v>0</v>
      </c>
      <c r="L19" s="821">
        <f t="shared" si="13"/>
        <v>95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442</v>
      </c>
      <c r="X19" s="820">
        <f t="shared" si="14"/>
        <v>7</v>
      </c>
      <c r="Y19" s="827">
        <f t="shared" si="14"/>
        <v>449</v>
      </c>
      <c r="Z19" s="827">
        <f t="shared" si="14"/>
        <v>0</v>
      </c>
      <c r="AA19" s="827">
        <f t="shared" si="14"/>
        <v>967</v>
      </c>
      <c r="AB19" s="827">
        <f t="shared" si="14"/>
        <v>2117</v>
      </c>
      <c r="AC19" s="827">
        <f t="shared" si="14"/>
        <v>1080</v>
      </c>
      <c r="AD19" s="827">
        <f t="shared" si="14"/>
        <v>0</v>
      </c>
      <c r="AE19" s="829">
        <f t="shared" si="14"/>
        <v>0</v>
      </c>
      <c r="AF19" s="830">
        <f t="shared" si="14"/>
        <v>0</v>
      </c>
      <c r="AG19" s="831">
        <f t="shared" si="14"/>
        <v>0</v>
      </c>
      <c r="AH19" s="829">
        <f t="shared" si="14"/>
        <v>0</v>
      </c>
      <c r="AI19" s="819">
        <f t="shared" si="14"/>
        <v>159</v>
      </c>
      <c r="AJ19" s="819">
        <f t="shared" si="14"/>
        <v>0</v>
      </c>
      <c r="AK19" s="829">
        <f t="shared" si="14"/>
        <v>0</v>
      </c>
      <c r="AL19" s="883">
        <f>IF(ISNUMBER(NºAsuntos!G19/NºAsuntos!E19),NºAsuntos!G19/NºAsuntos!E19," - ")</f>
        <v>0.66415500538213135</v>
      </c>
      <c r="AM19" s="884">
        <f>IF(ISNUMBER(((NºAsuntos!I19/NºAsuntos!G19)*11)/factor_trimestre),((NºAsuntos!I19/NºAsuntos!G19)*11)/factor_trimestre," - ")</f>
        <v>11.027552674230146</v>
      </c>
      <c r="AN19" s="884">
        <f>IF(ISNUMBER('Resol  Asuntos'!D19/NºAsuntos!G19),'Resol  Asuntos'!D19/NºAsuntos!G19," - ")</f>
        <v>0.25769854132901132</v>
      </c>
      <c r="AO19" s="885">
        <f>IF(ISNUMBER((NºAsuntos!C19+NºAsuntos!E19)/NºAsuntos!G19),(NºAsuntos!C19+NºAsuntos!E19)/NºAsuntos!G19," - ")</f>
        <v>4.6758508914100485</v>
      </c>
      <c r="AP19" s="886" t="str">
        <f t="shared" si="2"/>
        <v xml:space="preserve"> - </v>
      </c>
      <c r="AQ19" s="887">
        <f>IF(OR(ISNUMBER(FIND("01",Criterios!A8,1)),ISNUMBER(FIND("02",Criterios!A8,1)),ISNUMBER(FIND("03",Criterios!A8,1)),ISNUMBER(FIND("04",Criterios!A8,1))),(I19-W19+K19)/(F19-K19),(H19-W19+K19)/(F19-K19))</f>
        <v>-0.61303744798890425</v>
      </c>
      <c r="AR19" s="888">
        <f>IF(ISNUMBER((Datos!P19-Datos!Q19)/(Datos!R19-Datos!P19+Datos!Q19)),(Datos!P19-Datos!Q19)/(Datos!R19-Datos!P19+Datos!Q19)," - ")</f>
        <v>4.3371118777723018E-2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298.8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413.96014300896167</v>
      </c>
      <c r="G21" s="252">
        <f>IF(ISNUMBER(STDEV(G8:G18)),STDEV(G8:G18),"-")</f>
        <v>395.68383843669938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221.25822018627917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50.315007701480084</v>
      </c>
      <c r="AJ21" s="251">
        <f t="shared" si="18"/>
        <v>0</v>
      </c>
      <c r="AK21" s="253">
        <f t="shared" si="18"/>
        <v>0</v>
      </c>
      <c r="AL21" s="248">
        <f t="shared" si="18"/>
        <v>0.9599869429486958</v>
      </c>
      <c r="AM21" s="249">
        <f t="shared" si="18"/>
        <v>9.4992910936131238</v>
      </c>
      <c r="AN21" s="249">
        <f t="shared" si="18"/>
        <v>0.29648956464900617</v>
      </c>
      <c r="AO21" s="250">
        <f t="shared" si="18"/>
        <v>3.1664303645377068</v>
      </c>
      <c r="AP21" s="290" t="str">
        <f t="shared" si="18"/>
        <v>-</v>
      </c>
      <c r="AQ21" s="291">
        <f t="shared" si="18"/>
        <v>0.62892181720277784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tqzdO+w8r5FmiEmm/cz4w3YUkziR9wrNJYcIOGPMJlnPM9H4I7mUr/8bLGSej91eqki7Fje5Pa2c2oaPVmm3uA==" saltValue="EeEmOBhpkA/ZZkcIARPA5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SANTA CRUZ DE TENERIFE</v>
      </c>
      <c r="E3" s="262"/>
    </row>
    <row r="4" spans="2:20" ht="17.25" customHeight="1" thickBot="1">
      <c r="D4" s="261" t="str">
        <f>Criterios!A11 &amp;"  "&amp;Criterios!B11</f>
        <v>Resumenes por Partidos Judiciales  PUERTO DE LA CRUZ</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-0.66666666666666663</v>
      </c>
      <c r="E10" s="347">
        <f>IF(ISNUMBER((Datos!J10-Datos!T10)/Datos!T10),(Datos!J10-Datos!T10)/Datos!T10," - ")</f>
        <v>0</v>
      </c>
      <c r="F10" s="347">
        <f>IF(ISNUMBER((Datos!K10-Datos!U10)/Datos!U10),(Datos!K10-Datos!U10)/Datos!U10," - ")</f>
        <v>0</v>
      </c>
      <c r="G10" s="348">
        <f>IF(ISNUMBER((Datos!L10-Datos!V10)/Datos!V10),(Datos!L10-Datos!V10)/Datos!V10," - ")</f>
        <v>-1</v>
      </c>
      <c r="H10" s="229" t="str">
        <f>IF(ISNUMBER((Datos!M10-Datos!W10)/Datos!W10),(Datos!M10-Datos!W10)/Datos!W10," - ")</f>
        <v xml:space="preserve"> - </v>
      </c>
      <c r="I10" s="349">
        <f>IF(ISNUMBER((Tasas!C10-Datos!BE10)/Datos!BE10),(Tasas!C10-Datos!BE10)/Datos!BE10," - ")</f>
        <v>-1</v>
      </c>
      <c r="J10" s="348" t="str">
        <f>IF(ISNUMBER((Tasas!D10-Datos!BF10)/Datos!BF10),(Tasas!D10-Datos!BF10)/Datos!BF10," - ")</f>
        <v xml:space="preserve"> - </v>
      </c>
      <c r="K10" s="350">
        <f>IF(ISNUMBER((Tasas!E10-Datos!BG10)/Datos!BG10),(Tasas!E10-Datos!BG10)/Datos!BG10," - ")</f>
        <v>-0.57142857142857151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-0.35795454545454547</v>
      </c>
      <c r="I12" s="349">
        <f>IF(ISNUMBER((Tasas!C12-Datos!BE12)/Datos!BE12),(Tasas!C12-Datos!BE12)/Datos!BE12," - ")</f>
        <v>3.0343052169673328</v>
      </c>
      <c r="J12" s="348">
        <f>IF(ISNUMBER((Tasas!D12-Datos!BF12)/Datos!BF12),(Tasas!D12-Datos!BF12)/Datos!BF12," - ")</f>
        <v>4.3334322820037103</v>
      </c>
      <c r="K12" s="350">
        <f>IF(ISNUMBER((Tasas!E12-Datos!BG12)/Datos!BG12),(Tasas!E12-Datos!BG12)/Datos!BG12," - ")</f>
        <v>1.9669279393173198</v>
      </c>
      <c r="M12" t="e">
        <f>IF(Monitorios="SI",Datos!CE12,0)</f>
        <v>#REF!</v>
      </c>
      <c r="N12" t="e">
        <f>IF(Monitorios="SI",Datos!CF12,0)</f>
        <v>#REF!</v>
      </c>
      <c r="O12" t="e">
        <f>IF(Monitorios="SI",Datos!CG12,0)</f>
        <v>#REF!</v>
      </c>
      <c r="P12" t="e">
        <f>IF(Monitorios="SI",Datos!CH12,0)</f>
        <v>#REF!</v>
      </c>
      <c r="Q12">
        <f>IF(J_V="SI",0,Datos!AG12)</f>
        <v>20</v>
      </c>
      <c r="R12">
        <f>IF(J_V="SI",0,Datos!AH12)</f>
        <v>21</v>
      </c>
      <c r="S12">
        <f>IF(J_V="SI",0,Datos!AI12)</f>
        <v>23</v>
      </c>
      <c r="T12">
        <f>IF(J_V="SI",0,Datos!AJ12)</f>
        <v>18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-0.35795454545454547</v>
      </c>
      <c r="I13" s="356">
        <f>IF(ISNUMBER((Tasas!C13-Datos!BE13)/Datos!BE13),(Tasas!C13-Datos!BE13)/Datos!BE13," - ")</f>
        <v>2.9714658335244213</v>
      </c>
      <c r="J13" s="354">
        <f>IF(ISNUMBER((Tasas!D13-Datos!BF13)/Datos!BF13),(Tasas!D13-Datos!BF13)/Datos!BF13," - ")</f>
        <v>4.2682766671530716</v>
      </c>
      <c r="K13" s="357">
        <f>IF(ISNUMBER((Tasas!E13-Datos!BG13)/Datos!BG13),(Tasas!E13-Datos!BG13)/Datos!BG13," - ")</f>
        <v>1.9253133995728482</v>
      </c>
      <c r="M13" t="e">
        <f>IF(Monitorios="SI",Datos!CE13,0)</f>
        <v>#REF!</v>
      </c>
      <c r="N13" t="e">
        <f>IF(Monitorios="SI",Datos!CF13,0)</f>
        <v>#REF!</v>
      </c>
      <c r="O13" t="e">
        <f>IF(Monitorios="SI",Datos!CG13,0)</f>
        <v>#REF!</v>
      </c>
      <c r="P13" t="e">
        <f>IF(Monitorios="SI",Datos!CH13,0)</f>
        <v>#REF!</v>
      </c>
      <c r="Q13">
        <f>IF(J_V="SI",0,Datos!AG13)</f>
        <v>20</v>
      </c>
      <c r="R13">
        <f>IF(J_V="SI",0,Datos!AH13)</f>
        <v>21</v>
      </c>
      <c r="S13">
        <f>IF(J_V="SI",0,Datos!AI13)</f>
        <v>23</v>
      </c>
      <c r="T13">
        <f>IF(J_V="SI",0,Datos!AJ13)</f>
        <v>18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0.10445468509984639</v>
      </c>
      <c r="E16" s="347">
        <f>IF(ISNUMBER(
   IF(D_I="SI",(Datos!J16-Datos!T16)/Datos!T16,(Datos!J16+Datos!AD16-(Datos!T16+Datos!AL16))/(Datos!T16+Datos!AL16))
     ),IF(D_I="SI",(Datos!J16-Datos!T16)/Datos!T16,(Datos!J16+Datos!AD16-(Datos!T16+Datos!AL16))/(Datos!T16+Datos!AL16))," - ")</f>
        <v>-0.16901408450704225</v>
      </c>
      <c r="F16" s="347">
        <f>IF(ISNUMBER(
   IF(D_I="SI",(Datos!K16-Datos!U16)/Datos!U16,(Datos!K16+Datos!AE16-(Datos!U16+Datos!AM16))/(Datos!U16+Datos!AM16))
     ),IF(D_I="SI",(Datos!K16-Datos!U16)/Datos!U16,(Datos!K16+Datos!AE16-(Datos!U16+Datos!AM16))/(Datos!U16+Datos!AM16))," - ")</f>
        <v>-0.42296511627906974</v>
      </c>
      <c r="G16" s="348">
        <f>IF(ISNUMBER(
   IF(D_I="SI",(Datos!L16-Datos!V16)/Datos!V16,(Datos!L16+Datos!AF16-(Datos!V16+Datos!AN16))/(Datos!V16+Datos!AN16))
     ),IF(D_I="SI",(Datos!L16-Datos!V16)/Datos!V16,(Datos!L16+Datos!AF16-(Datos!V16+Datos!AN16))/(Datos!V16+Datos!AN16))," - ")</f>
        <v>0.35512630014858843</v>
      </c>
      <c r="H16" s="229">
        <f>IF(ISNUMBER((Datos!M16-Datos!W16)/Datos!W16),(Datos!M16-Datos!W16)/Datos!W16," - ")</f>
        <v>-0.44871794871794873</v>
      </c>
      <c r="I16" s="349">
        <f>IF(ISNUMBER((Tasas!C16-Datos!BE16)/Datos!BE16),(Tasas!C16-Datos!BE16)/Datos!BE16," - ")</f>
        <v>1.3484304647411305</v>
      </c>
      <c r="J16" s="348">
        <f>IF(ISNUMBER((Tasas!D16-Datos!BF16)/Datos!BF16),(Tasas!D16-Datos!BF16)/Datos!BF16," - ")</f>
        <v>-4.4629593747981554E-2</v>
      </c>
      <c r="K16" s="350">
        <f>IF(ISNUMBER((Tasas!E16-Datos!BG16)/Datos!BG16),(Tasas!E16-Datos!BG16)/Datos!BG16," - ")</f>
        <v>0.66678449872944945</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0.04</v>
      </c>
      <c r="E17" s="347">
        <f>IF(ISNUMBER(
   IF(D_I="SI",(Datos!J17-Datos!T17)/Datos!T17,(Datos!J17+Datos!AD17-(Datos!T17+Datos!AL17))/(Datos!T17+Datos!AL17))
     ),IF(D_I="SI",(Datos!J17-Datos!T17)/Datos!T17,(Datos!J17+Datos!AD17-(Datos!T17+Datos!AL17))/(Datos!T17+Datos!AL17))," - ")</f>
        <v>1.3666666666666667</v>
      </c>
      <c r="F17" s="347">
        <f>IF(ISNUMBER(
   IF(D_I="SI",(Datos!K17-Datos!U17)/Datos!U17,(Datos!K17+Datos!AE17-(Datos!U17+Datos!AM17))/(Datos!U17+Datos!AM17))
     ),IF(D_I="SI",(Datos!K17-Datos!U17)/Datos!U17,(Datos!K17+Datos!AE17-(Datos!U17+Datos!AM17))/(Datos!U17+Datos!AM17))," - ")</f>
        <v>0.4</v>
      </c>
      <c r="G17" s="348">
        <f>IF(ISNUMBER(
   IF(D_I="SI",(Datos!L17-Datos!V17)/Datos!V17,(Datos!L17+Datos!AF17-(Datos!V17+Datos!AN17))/(Datos!V17+Datos!AN17))
     ),IF(D_I="SI",(Datos!L17-Datos!V17)/Datos!V17,(Datos!L17+Datos!AF17-(Datos!V17+Datos!AN17))/(Datos!V17+Datos!AN17))," - ")</f>
        <v>1.2</v>
      </c>
      <c r="H17" s="229">
        <f>IF(ISNUMBER((Datos!M17-Datos!W17)/Datos!W17),(Datos!M17-Datos!W17)/Datos!W17," - ")</f>
        <v>-0.66666666666666663</v>
      </c>
      <c r="I17" s="349">
        <f>IF(ISNUMBER((Tasas!C17-Datos!BE17)/Datos!BE17),(Tasas!C17-Datos!BE17)/Datos!BE17," - ")</f>
        <v>0.5714285714285714</v>
      </c>
      <c r="J17" s="348">
        <f>IF(ISNUMBER((Tasas!D17-Datos!BF17)/Datos!BF17),(Tasas!D17-Datos!BF17)/Datos!BF17," - ")</f>
        <v>-0.76190476190476186</v>
      </c>
      <c r="K17" s="350">
        <f>IF(ISNUMBER((Tasas!E17-Datos!BG17)/Datos!BG17),(Tasas!E17-Datos!BG17)/Datos!BG17," - ")</f>
        <v>0.25974025974025966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0.10207100591715976</v>
      </c>
      <c r="E18" s="353">
        <f>IF(ISNUMBER(
   IF(D_I="SI",(Datos!J18-Datos!T18)/Datos!T18,(Datos!J18+Datos!AD18-(Datos!T18+Datos!AL18))/(Datos!T18+Datos!AL18))
     ),IF(D_I="SI",(Datos!J18-Datos!T18)/Datos!T18,(Datos!J18+Datos!AD18-(Datos!T18+Datos!AL18))/(Datos!T18+Datos!AL18))," - ")</f>
        <v>-0.10675675675675676</v>
      </c>
      <c r="F18" s="353">
        <f>IF(ISNUMBER(
   IF(D_I="SI",(Datos!K18-Datos!U18)/Datos!U18,(Datos!K18+Datos!AE18-(Datos!U18+Datos!AM18))/(Datos!U18+Datos!AM18))
     ),IF(D_I="SI",(Datos!K18-Datos!U18)/Datos!U18,(Datos!K18+Datos!AE18-(Datos!U18+Datos!AM18))/(Datos!U18+Datos!AM18))," - ")</f>
        <v>-0.38857938718662954</v>
      </c>
      <c r="G18" s="354">
        <f>IF(ISNUMBER(
   IF(D_I="SI",(Datos!L18-Datos!V18)/Datos!V18,(Datos!L18+Datos!AF18-(Datos!V18+Datos!AN18))/(Datos!V18+Datos!AN18))
     ),IF(D_I="SI",(Datos!L18-Datos!V18)/Datos!V18,(Datos!L18+Datos!AF18-(Datos!V18+Datos!AN18))/(Datos!V18+Datos!AN18))," - ")</f>
        <v>0.38538681948424069</v>
      </c>
      <c r="H18" s="355">
        <f>IF(ISNUMBER((Datos!M18-Datos!W18)/Datos!W18),(Datos!M18-Datos!W18)/Datos!W18," - ")</f>
        <v>-0.47126436781609193</v>
      </c>
      <c r="I18" s="356">
        <f>IF(ISNUMBER((Tasas!C18-Datos!BE18)/Datos!BE18),(Tasas!C18-Datos!BE18)/Datos!BE18," - ")</f>
        <v>1.265849057835273</v>
      </c>
      <c r="J18" s="354">
        <f>IF(ISNUMBER((Tasas!D18-Datos!BF18)/Datos!BF18),(Tasas!D18-Datos!BF18)/Datos!BF18," - ")</f>
        <v>-0.13523420522085194</v>
      </c>
      <c r="K18" s="357">
        <f>IF(ISNUMBER((Tasas!E18-Datos!BG18)/Datos!BG18),(Tasas!E18-Datos!BG18)/Datos!BG18," - ")</f>
        <v>0.62398491692727442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2.0876826722338204E-2</v>
      </c>
      <c r="E19" s="362">
        <f>IF(ISNUMBER(
   IF(J_V="SI",(Datos!J19-Datos!T19)/Datos!T19,(Datos!J19+Datos!Z19-(Datos!T19+Datos!AH19))/(Datos!T19+Datos!AH19))
     ),IF(J_V="SI",(Datos!J19-Datos!T19)/Datos!T19,(Datos!J19+Datos!Z19-(Datos!T19+Datos!AH19))/(Datos!T19+Datos!AH19))," - ")</f>
        <v>-0.2935361216730038</v>
      </c>
      <c r="F19" s="362">
        <f>IF(ISNUMBER(
   IF(J_V="SI",(Datos!K19-Datos!U19)/Datos!U19,(Datos!K19+Datos!AA19-(Datos!U19+Datos!AI19))/(Datos!U19+Datos!AI19))
     ),IF(J_V="SI",(Datos!K19-Datos!U19)/Datos!U19,(Datos!K19+Datos!AA19-(Datos!U19+Datos!AI19))/(Datos!U19+Datos!AI19))," - ")</f>
        <v>-0.54532056005895357</v>
      </c>
      <c r="G19" s="363">
        <f>IF(ISNUMBER(
   IF(J_V="SI",(Datos!L19-Datos!V19)/Datos!V19,(Datos!L19+Datos!AB19-(Datos!V19+Datos!AJ19))/(Datos!V19+Datos!AJ19))
     ),IF(J_V="SI",(Datos!L19-Datos!V19)/Datos!V19,(Datos!L19+Datos!AB19-(Datos!V19+Datos!AJ19))/(Datos!V19+Datos!AJ19))," - ")</f>
        <v>0.21024546424759871</v>
      </c>
      <c r="H19" s="364">
        <f>IF(ISNUMBER((Datos!M19-Datos!W19)/Datos!W19),(Datos!M19-Datos!W19)/Datos!W19," - ")</f>
        <v>-0.39543726235741444</v>
      </c>
      <c r="I19" s="361">
        <f>IF(ISNUMBER((Tasas!C19-Datos!BE19)/Datos!BE19),(Tasas!C19-Datos!BE19)/Datos!BE19," - ")</f>
        <v>1.6617554213678951</v>
      </c>
      <c r="J19" s="362">
        <f>IF(ISNUMBER((Tasas!D19-Datos!BF19)/Datos!BF19),(Tasas!D19-Datos!BF19)/Datos!BF19," - ")</f>
        <v>1.1322982962406605</v>
      </c>
      <c r="K19" s="363">
        <f>IF(ISNUMBER((Tasas!E19-Datos!BG19)/Datos!BG19),(Tasas!E19-Datos!BG19)/Datos!BG19," - ")</f>
        <v>0.96382843071601232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0.37560799870686601</v>
      </c>
      <c r="E21" s="277">
        <f t="shared" si="1"/>
        <v>0.73262703521469041</v>
      </c>
      <c r="F21" s="277">
        <f t="shared" si="1"/>
        <v>0.38624310572146842</v>
      </c>
      <c r="G21" s="278">
        <f t="shared" si="1"/>
        <v>0.91168277700068368</v>
      </c>
      <c r="H21" s="284">
        <f t="shared" si="1"/>
        <v>0.12628392872084387</v>
      </c>
      <c r="I21" s="276">
        <f t="shared" si="1"/>
        <v>1.5231807567131797</v>
      </c>
      <c r="J21" s="277">
        <f t="shared" si="1"/>
        <v>2.5427673240378184</v>
      </c>
      <c r="K21" s="278">
        <f t="shared" si="1"/>
        <v>0.98474644862512817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fCU/ckOiJDRBQZwWg6J1QyBA1kVSPt+FlFEc3ppzuy4cHX0Ra3N6GdYrAb/+CyUc4z63NfNiF35qujZeKYT0Jw==" saltValue="IRHLoNJjzg6gx/9kV/oM+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2026-03-17T18:29:39Z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